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zoewhitman/Downloads/"/>
    </mc:Choice>
  </mc:AlternateContent>
  <xr:revisionPtr revIDLastSave="0" documentId="13_ncr:1_{D9309821-C4DD-514F-A14C-E169A5143A59}" xr6:coauthVersionLast="47" xr6:coauthVersionMax="47" xr10:uidLastSave="{00000000-0000-0000-0000-000000000000}"/>
  <bookViews>
    <workbookView xWindow="0" yWindow="760" windowWidth="30240" windowHeight="18880" tabRatio="500" xr2:uid="{00000000-000D-0000-FFFF-FFFF00000000}"/>
  </bookViews>
  <sheets>
    <sheet name="START HERE" sheetId="1" r:id="rId1"/>
    <sheet name="Perfect P&amp;L" sheetId="2" r:id="rId2"/>
    <sheet name="Current State" sheetId="3" r:id="rId3"/>
    <sheet name="Target State" sheetId="4" r:id="rId4"/>
    <sheet name="Sales Funnel" sheetId="5" r:id="rId5"/>
    <sheet name="Milestones" sheetId="6" r:id="rId6"/>
    <sheet name="Monthly Plan" sheetId="7" r:id="rId7"/>
    <sheet name="Next Step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5" i="7" l="1"/>
  <c r="H42" i="7"/>
  <c r="G42" i="7"/>
  <c r="D42" i="7"/>
  <c r="C42" i="7"/>
  <c r="H41" i="7"/>
  <c r="G41" i="7"/>
  <c r="D41" i="7"/>
  <c r="C41" i="7"/>
  <c r="H40" i="7"/>
  <c r="G40" i="7"/>
  <c r="D40" i="7"/>
  <c r="C40" i="7"/>
  <c r="H39" i="7"/>
  <c r="G39" i="7"/>
  <c r="D39" i="7"/>
  <c r="C39" i="7"/>
  <c r="H38" i="7"/>
  <c r="G38" i="7"/>
  <c r="D38" i="7"/>
  <c r="C38" i="7"/>
  <c r="H37" i="7"/>
  <c r="G37" i="7"/>
  <c r="D37" i="7"/>
  <c r="C37" i="7"/>
  <c r="H36" i="7"/>
  <c r="G36" i="7"/>
  <c r="D36" i="7"/>
  <c r="C36" i="7"/>
  <c r="H35" i="7"/>
  <c r="G35" i="7"/>
  <c r="D35" i="7"/>
  <c r="C35" i="7"/>
  <c r="H34" i="7"/>
  <c r="G34" i="7"/>
  <c r="D34" i="7"/>
  <c r="C34" i="7"/>
  <c r="H33" i="7"/>
  <c r="G33" i="7"/>
  <c r="D33" i="7"/>
  <c r="C33" i="7"/>
  <c r="H32" i="7"/>
  <c r="G32" i="7"/>
  <c r="D32" i="7"/>
  <c r="C32" i="7"/>
  <c r="H31" i="7"/>
  <c r="G31" i="7"/>
  <c r="D31" i="7"/>
  <c r="C31" i="7"/>
  <c r="D30" i="7"/>
  <c r="D29" i="7"/>
  <c r="D28" i="7"/>
  <c r="D27" i="7"/>
  <c r="D26" i="7"/>
  <c r="D25" i="7"/>
  <c r="D24" i="7"/>
  <c r="D23" i="7"/>
  <c r="D22" i="7"/>
  <c r="D21" i="7"/>
  <c r="D20" i="7"/>
  <c r="D19" i="7"/>
  <c r="D18" i="7"/>
  <c r="D17" i="7"/>
  <c r="D16" i="7"/>
  <c r="D15" i="7"/>
  <c r="D14" i="7"/>
  <c r="D13" i="7"/>
  <c r="D12" i="7"/>
  <c r="D11" i="7"/>
  <c r="D10" i="7"/>
  <c r="D9" i="7"/>
  <c r="D8" i="7"/>
  <c r="D7" i="7"/>
  <c r="D6" i="7"/>
  <c r="B6" i="7"/>
  <c r="J6" i="7" s="1"/>
  <c r="C10" i="5"/>
  <c r="C23" i="4"/>
  <c r="C22" i="4"/>
  <c r="C10" i="4"/>
  <c r="C15" i="4" s="1"/>
  <c r="C9" i="3"/>
  <c r="C14" i="3" s="1"/>
  <c r="C21" i="2"/>
  <c r="C20" i="2"/>
  <c r="C22" i="2" s="1"/>
  <c r="C25" i="4" l="1"/>
  <c r="B46" i="7" s="1"/>
  <c r="E6" i="7"/>
  <c r="I6" i="7"/>
  <c r="C17" i="5"/>
  <c r="C18" i="5" s="1"/>
  <c r="K6" i="7"/>
  <c r="F6" i="7"/>
  <c r="C24" i="2"/>
  <c r="C26" i="2" s="1"/>
  <c r="C29" i="7" l="1"/>
  <c r="C27" i="7"/>
  <c r="C25" i="7"/>
  <c r="C26" i="7"/>
  <c r="C28" i="7"/>
  <c r="C30" i="7"/>
  <c r="B47" i="7"/>
  <c r="C13" i="3"/>
  <c r="C16" i="3" s="1"/>
  <c r="C14" i="4"/>
  <c r="C16" i="4" s="1"/>
  <c r="C24" i="7"/>
  <c r="C10" i="7"/>
  <c r="C15" i="7"/>
  <c r="C23" i="5"/>
  <c r="C20" i="7"/>
  <c r="C11" i="7"/>
  <c r="C18" i="7"/>
  <c r="C21" i="7"/>
  <c r="C12" i="7"/>
  <c r="C17" i="7"/>
  <c r="C22" i="7"/>
  <c r="C8" i="7"/>
  <c r="C13" i="7"/>
  <c r="C23" i="7"/>
  <c r="C9" i="7"/>
  <c r="C7" i="7"/>
  <c r="B7" i="7" s="1"/>
  <c r="C14" i="7"/>
  <c r="C19" i="7"/>
  <c r="C16" i="7"/>
  <c r="L6" i="7"/>
  <c r="H26" i="7" l="1"/>
  <c r="H28" i="7"/>
  <c r="H29" i="7"/>
  <c r="H25" i="7"/>
  <c r="H27" i="7"/>
  <c r="H30" i="7"/>
  <c r="H21" i="7"/>
  <c r="H7" i="7"/>
  <c r="H12" i="7"/>
  <c r="C25" i="5"/>
  <c r="H17" i="7"/>
  <c r="H15" i="7"/>
  <c r="H22" i="7"/>
  <c r="H8" i="7"/>
  <c r="H18" i="7"/>
  <c r="H23" i="7"/>
  <c r="H9" i="7"/>
  <c r="H14" i="7"/>
  <c r="H19" i="7"/>
  <c r="H10" i="7"/>
  <c r="H24" i="7"/>
  <c r="H20" i="7"/>
  <c r="H11" i="7"/>
  <c r="H16" i="7"/>
  <c r="H13" i="7"/>
  <c r="E7" i="7"/>
  <c r="B8" i="7"/>
  <c r="J7" i="7"/>
  <c r="I7" i="7"/>
  <c r="G25" i="7" l="1"/>
  <c r="G26" i="7"/>
  <c r="G29" i="7"/>
  <c r="G27" i="7"/>
  <c r="G30" i="7"/>
  <c r="G28" i="7"/>
  <c r="J8" i="7"/>
  <c r="E8" i="7"/>
  <c r="B9" i="7"/>
  <c r="I8" i="7"/>
  <c r="K7" i="7"/>
  <c r="F7" i="7"/>
  <c r="L7" i="7" s="1"/>
  <c r="G16" i="7"/>
  <c r="G7" i="7"/>
  <c r="G21" i="7"/>
  <c r="G12" i="7"/>
  <c r="G17" i="7"/>
  <c r="G22" i="7"/>
  <c r="G8" i="7"/>
  <c r="G13" i="7"/>
  <c r="G18" i="7"/>
  <c r="G23" i="7"/>
  <c r="G9" i="7"/>
  <c r="G14" i="7"/>
  <c r="G10" i="7"/>
  <c r="G19" i="7"/>
  <c r="G24" i="7"/>
  <c r="G15" i="7"/>
  <c r="G20" i="7"/>
  <c r="G11" i="7"/>
  <c r="B10" i="7" l="1"/>
  <c r="I9" i="7"/>
  <c r="E9" i="7"/>
  <c r="J9" i="7"/>
  <c r="K8" i="7"/>
  <c r="F8" i="7"/>
  <c r="L8" i="7" s="1"/>
  <c r="K9" i="7" l="1"/>
  <c r="F9" i="7"/>
  <c r="L9" i="7" s="1"/>
  <c r="B11" i="7"/>
  <c r="J10" i="7"/>
  <c r="I10" i="7"/>
  <c r="E10" i="7"/>
  <c r="K10" i="7" l="1"/>
  <c r="F10" i="7"/>
  <c r="L10" i="7" s="1"/>
  <c r="E11" i="7"/>
  <c r="J11" i="7"/>
  <c r="B12" i="7"/>
  <c r="I11" i="7"/>
  <c r="I12" i="7" l="1"/>
  <c r="E12" i="7"/>
  <c r="B13" i="7"/>
  <c r="J12" i="7"/>
  <c r="F11" i="7"/>
  <c r="L11" i="7" s="1"/>
  <c r="K11" i="7"/>
  <c r="J13" i="7" l="1"/>
  <c r="I13" i="7"/>
  <c r="E13" i="7"/>
  <c r="B14" i="7"/>
  <c r="F12" i="7"/>
  <c r="L12" i="7" s="1"/>
  <c r="K12" i="7"/>
  <c r="B15" i="7" l="1"/>
  <c r="J14" i="7"/>
  <c r="I14" i="7"/>
  <c r="E14" i="7"/>
  <c r="K13" i="7"/>
  <c r="F13" i="7"/>
  <c r="L13" i="7" s="1"/>
  <c r="K14" i="7" l="1"/>
  <c r="F14" i="7"/>
  <c r="L14" i="7" s="1"/>
  <c r="B16" i="7"/>
  <c r="J15" i="7"/>
  <c r="I15" i="7"/>
  <c r="E15" i="7"/>
  <c r="K15" i="7" l="1"/>
  <c r="F15" i="7"/>
  <c r="L15" i="7" s="1"/>
  <c r="E16" i="7"/>
  <c r="B17" i="7"/>
  <c r="J16" i="7"/>
  <c r="I16" i="7"/>
  <c r="J17" i="7" l="1"/>
  <c r="I17" i="7"/>
  <c r="E17" i="7"/>
  <c r="B18" i="7"/>
  <c r="F16" i="7"/>
  <c r="L16" i="7" s="1"/>
  <c r="K16" i="7"/>
  <c r="B19" i="7" l="1"/>
  <c r="J18" i="7"/>
  <c r="E18" i="7"/>
  <c r="I18" i="7"/>
  <c r="K17" i="7"/>
  <c r="F17" i="7"/>
  <c r="L17" i="7" s="1"/>
  <c r="K18" i="7" l="1"/>
  <c r="F18" i="7"/>
  <c r="L18" i="7" s="1"/>
  <c r="B20" i="7"/>
  <c r="J19" i="7"/>
  <c r="I19" i="7"/>
  <c r="E19" i="7"/>
  <c r="K19" i="7" l="1"/>
  <c r="F19" i="7"/>
  <c r="L19" i="7" s="1"/>
  <c r="E20" i="7"/>
  <c r="I20" i="7"/>
  <c r="B21" i="7"/>
  <c r="J20" i="7"/>
  <c r="E21" i="7" l="1"/>
  <c r="B22" i="7"/>
  <c r="J21" i="7"/>
  <c r="I21" i="7"/>
  <c r="K20" i="7"/>
  <c r="F20" i="7"/>
  <c r="L20" i="7" s="1"/>
  <c r="J22" i="7" l="1"/>
  <c r="I22" i="7"/>
  <c r="E22" i="7"/>
  <c r="B23" i="7"/>
  <c r="F21" i="7"/>
  <c r="L21" i="7" s="1"/>
  <c r="K21" i="7"/>
  <c r="B24" i="7" l="1"/>
  <c r="J23" i="7"/>
  <c r="I23" i="7"/>
  <c r="E23" i="7"/>
  <c r="K22" i="7"/>
  <c r="F22" i="7"/>
  <c r="L22" i="7" s="1"/>
  <c r="K23" i="7" l="1"/>
  <c r="F23" i="7"/>
  <c r="L23" i="7" s="1"/>
  <c r="B25" i="7"/>
  <c r="J24" i="7"/>
  <c r="I24" i="7"/>
  <c r="E24" i="7"/>
  <c r="K24" i="7" l="1"/>
  <c r="F24" i="7"/>
  <c r="L24" i="7" s="1"/>
  <c r="E25" i="7"/>
  <c r="B26" i="7"/>
  <c r="J25" i="7"/>
  <c r="I25" i="7"/>
  <c r="I26" i="7" l="1"/>
  <c r="E26" i="7"/>
  <c r="B27" i="7"/>
  <c r="J26" i="7"/>
  <c r="F25" i="7"/>
  <c r="L25" i="7" s="1"/>
  <c r="K25" i="7"/>
  <c r="J27" i="7" l="1"/>
  <c r="I27" i="7"/>
  <c r="E27" i="7"/>
  <c r="B28" i="7"/>
  <c r="F26" i="7"/>
  <c r="L26" i="7" s="1"/>
  <c r="K26" i="7"/>
  <c r="B29" i="7" l="1"/>
  <c r="J28" i="7"/>
  <c r="I28" i="7"/>
  <c r="E28" i="7"/>
  <c r="K27" i="7"/>
  <c r="F27" i="7"/>
  <c r="L27" i="7" s="1"/>
  <c r="K28" i="7" l="1"/>
  <c r="F28" i="7"/>
  <c r="L28" i="7" s="1"/>
  <c r="B30" i="7"/>
  <c r="J29" i="7"/>
  <c r="I29" i="7"/>
  <c r="E29" i="7"/>
  <c r="K29" i="7" l="1"/>
  <c r="F29" i="7"/>
  <c r="L29" i="7" s="1"/>
  <c r="E30" i="7"/>
  <c r="B31" i="7"/>
  <c r="J30" i="7"/>
  <c r="I30" i="7"/>
  <c r="J31" i="7" l="1"/>
  <c r="I31" i="7"/>
  <c r="E31" i="7"/>
  <c r="B32" i="7"/>
  <c r="F30" i="7"/>
  <c r="L30" i="7" s="1"/>
  <c r="K30" i="7"/>
  <c r="B33" i="7" l="1"/>
  <c r="J32" i="7"/>
  <c r="I32" i="7"/>
  <c r="E32" i="7"/>
  <c r="F31" i="7"/>
  <c r="L31" i="7" s="1"/>
  <c r="K31" i="7"/>
  <c r="K32" i="7" l="1"/>
  <c r="F32" i="7"/>
  <c r="L32" i="7" s="1"/>
  <c r="B34" i="7"/>
  <c r="J33" i="7"/>
  <c r="I33" i="7"/>
  <c r="E33" i="7"/>
  <c r="K33" i="7" l="1"/>
  <c r="F33" i="7"/>
  <c r="L33" i="7" s="1"/>
  <c r="E34" i="7"/>
  <c r="B35" i="7"/>
  <c r="J34" i="7"/>
  <c r="I34" i="7"/>
  <c r="K34" i="7" l="1"/>
  <c r="F34" i="7"/>
  <c r="L34" i="7" s="1"/>
  <c r="E35" i="7"/>
  <c r="B36" i="7"/>
  <c r="J35" i="7"/>
  <c r="I35" i="7"/>
  <c r="J36" i="7" l="1"/>
  <c r="I36" i="7"/>
  <c r="E36" i="7"/>
  <c r="B37" i="7"/>
  <c r="F35" i="7"/>
  <c r="L35" i="7" s="1"/>
  <c r="K35" i="7"/>
  <c r="B38" i="7" l="1"/>
  <c r="J37" i="7"/>
  <c r="I37" i="7"/>
  <c r="E37" i="7"/>
  <c r="K36" i="7"/>
  <c r="F36" i="7"/>
  <c r="L36" i="7" s="1"/>
  <c r="K37" i="7" l="1"/>
  <c r="F37" i="7"/>
  <c r="L37" i="7" s="1"/>
  <c r="B39" i="7"/>
  <c r="J38" i="7"/>
  <c r="I38" i="7"/>
  <c r="E38" i="7"/>
  <c r="K38" i="7" l="1"/>
  <c r="F38" i="7"/>
  <c r="L38" i="7" s="1"/>
  <c r="E39" i="7"/>
  <c r="B40" i="7"/>
  <c r="J39" i="7"/>
  <c r="I39" i="7"/>
  <c r="I40" i="7" l="1"/>
  <c r="E40" i="7"/>
  <c r="B41" i="7"/>
  <c r="J40" i="7"/>
  <c r="F39" i="7"/>
  <c r="L39" i="7" s="1"/>
  <c r="K39" i="7"/>
  <c r="J41" i="7" l="1"/>
  <c r="I41" i="7"/>
  <c r="E41" i="7"/>
  <c r="B42" i="7"/>
  <c r="F40" i="7"/>
  <c r="L40" i="7" s="1"/>
  <c r="K40" i="7"/>
  <c r="J42" i="7" l="1"/>
  <c r="I42" i="7"/>
  <c r="E42" i="7"/>
  <c r="K41" i="7"/>
  <c r="F41" i="7"/>
  <c r="L41" i="7" s="1"/>
  <c r="K42" i="7" l="1"/>
  <c r="F42" i="7"/>
  <c r="L42" i="7" s="1"/>
</calcChain>
</file>

<file path=xl/sharedStrings.xml><?xml version="1.0" encoding="utf-8"?>
<sst xmlns="http://schemas.openxmlformats.org/spreadsheetml/2006/main" count="177" uniqueCount="169">
  <si>
    <t>Welcome to Your Business Growth Blueprint!</t>
  </si>
  <si>
    <t>This planner will help you map out your exact route to building a six-figure bookkeeping practice.</t>
  </si>
  <si>
    <t>You'll discover:</t>
  </si>
  <si>
    <t xml:space="preserve">  ✓ How many clients you need and what to charge them</t>
  </si>
  <si>
    <t xml:space="preserve">  ✓ How many leads you need to generate each month</t>
  </si>
  <si>
    <t xml:space="preserve">  ✓ When to hire team members and implement new systems</t>
  </si>
  <si>
    <t xml:space="preserve">  ✓ Your month-by-month action plan to hit your target</t>
  </si>
  <si>
    <t>HOW TO USE THIS PLANNER:</t>
  </si>
  <si>
    <t>1. Work through each tab from left to right</t>
  </si>
  <si>
    <t>3. Black cells contain formulas that calculate automatically - don't change these!</t>
  </si>
  <si>
    <t>4. Read the instructions in each tab carefully</t>
  </si>
  <si>
    <t>5. Your final output will be in the 'Monthly Plan' tab showing your complete roadmap</t>
  </si>
  <si>
    <t>IMPORTANT:</t>
  </si>
  <si>
    <t>Be honest with yourself as you fill this in. This is YOUR plan for YOUR business.</t>
  </si>
  <si>
    <t>The more realistic you are, the more useful this tool will be.</t>
  </si>
  <si>
    <t>Ready? Click on the 'Perfect P&amp;L' tab to begin! →</t>
  </si>
  <si>
    <t>STEP 1: BUILD YOUR PERFECT P&amp;L</t>
  </si>
  <si>
    <t>YOUR PERSONAL INCOME GOAL</t>
  </si>
  <si>
    <t>How much do you want to take home each year?</t>
  </si>
  <si>
    <t>Enter amount below →</t>
  </si>
  <si>
    <t>BUSINESS COSTS</t>
  </si>
  <si>
    <t>Estimated overhead rate (as % of turnover)</t>
  </si>
  <si>
    <t>Typically 30-35% →</t>
  </si>
  <si>
    <t>TAX PLANNING</t>
  </si>
  <si>
    <t>Your estimated tax rate</t>
  </si>
  <si>
    <t>Corp tax + dividend tax →</t>
  </si>
  <si>
    <t>YOUR PERFECT P&amp;L CALCULATION</t>
  </si>
  <si>
    <t>Personal income goal</t>
  </si>
  <si>
    <t>Add: Tax on personal income</t>
  </si>
  <si>
    <t>Subtotal (take-home + tax)</t>
  </si>
  <si>
    <t>Add: Business overheads</t>
  </si>
  <si>
    <t>(Turnover × overhead rate)</t>
  </si>
  <si>
    <t>YOUR TARGET TURNOVER</t>
  </si>
  <si>
    <t>Next step: Click on 'Current State' tab to see where you are now →</t>
  </si>
  <si>
    <t>STEP 2: WHERE ARE YOU NOW?</t>
  </si>
  <si>
    <t>Let's take an honest look at your current business situation.</t>
  </si>
  <si>
    <t>CURRENT CLIENT BASE</t>
  </si>
  <si>
    <t>Number of active clients right now</t>
  </si>
  <si>
    <t>Average monthly fee per client</t>
  </si>
  <si>
    <t>Current annual revenue</t>
  </si>
  <si>
    <t>THE GAP</t>
  </si>
  <si>
    <t>Your target turnover (from Perfect P&amp;L)</t>
  </si>
  <si>
    <t>Your current annual revenue</t>
  </si>
  <si>
    <t>GAP TO CLOSE</t>
  </si>
  <si>
    <t>Next step: Click on 'Target State' tab to plan your future business →</t>
  </si>
  <si>
    <t>STEP 3: WHERE DO YOU WANT TO BE?</t>
  </si>
  <si>
    <t>YOUR IDEAL PRACTICE</t>
  </si>
  <si>
    <t>Number of clients in your ideal practice</t>
  </si>
  <si>
    <t>Projected annual revenue</t>
  </si>
  <si>
    <t>VALIDATION CHECK</t>
  </si>
  <si>
    <t>Projected revenue with these numbers</t>
  </si>
  <si>
    <t>Difference</t>
  </si>
  <si>
    <t>CLIENTS NEEDED</t>
  </si>
  <si>
    <t>Current clients</t>
  </si>
  <si>
    <t>Target clients</t>
  </si>
  <si>
    <t>NEW CLIENTS TO ADD</t>
  </si>
  <si>
    <t>Next step: Click on 'Sales Funnel' tab to work out how to get these clients →</t>
  </si>
  <si>
    <t>STEP 4: YOUR SALES &amp; MARKETING PLAN</t>
  </si>
  <si>
    <t>Let's work out how many leads you need to generate to hit your target.</t>
  </si>
  <si>
    <t>YOUR CONVERSION RATES</t>
  </si>
  <si>
    <t>Lead to sales conversation rate</t>
  </si>
  <si>
    <t>What % of leads book a call? →</t>
  </si>
  <si>
    <t>Sales conversation to client rate</t>
  </si>
  <si>
    <t>What % of calls convert? →</t>
  </si>
  <si>
    <t>Overall conversion rate</t>
  </si>
  <si>
    <t>(Lead to client)</t>
  </si>
  <si>
    <t>YOUR TIMELINE</t>
  </si>
  <si>
    <t>How many months to reach your target?</t>
  </si>
  <si>
    <t>Clients to add (from Target State)</t>
  </si>
  <si>
    <t>Clients to add per month (average)</t>
  </si>
  <si>
    <t>MONTHLY LEAD GENERATION TARGETS</t>
  </si>
  <si>
    <t>Sales conversations needed per month</t>
  </si>
  <si>
    <t>LEADS NEEDED PER MONTH</t>
  </si>
  <si>
    <t>This is how many new leads you need to generate every month!</t>
  </si>
  <si>
    <t>Next step: Click on 'Milestones' tab to plan when to scale your operations →</t>
  </si>
  <si>
    <t>STEP 5: WHEN TO SCALE YOUR OPERATIONS</t>
  </si>
  <si>
    <t>Plan when to invest in team, systems, and infrastructure as you grow.</t>
  </si>
  <si>
    <t>Add your own milestones below - name them whatever makes sense for your business!</t>
  </si>
  <si>
    <t>YOUR GROWTH MILESTONES</t>
  </si>
  <si>
    <t>At how many clients?</t>
  </si>
  <si>
    <t>Estimated cost (monthly)</t>
  </si>
  <si>
    <t>Practice management software</t>
  </si>
  <si>
    <t>First subcontractor/part-time help</t>
  </si>
  <si>
    <t>Marketing/website investment</t>
  </si>
  <si>
    <t>Professional indemnity upgrade</t>
  </si>
  <si>
    <t>First full-time team member</t>
  </si>
  <si>
    <t>Training &amp; CPD budget</t>
  </si>
  <si>
    <t>Advanced software tools</t>
  </si>
  <si>
    <t>Instructions:</t>
  </si>
  <si>
    <t>• Fill in the milestone name in column A (e.g., 'Hire VA', 'New office space', 'CRM software')</t>
  </si>
  <si>
    <t>• Put the client count trigger in column B (when you hit this many clients, implement this milestone)</t>
  </si>
  <si>
    <t>• Add the monthly cost in column C</t>
  </si>
  <si>
    <t>• These will automatically appear in your Monthly Plan tab based on when you hit those client counts</t>
  </si>
  <si>
    <t>Next step: Click on 'Monthly Plan' tab to see your complete roadmap →</t>
  </si>
  <si>
    <t>YOUR MONTH-BY-MONTH GROWTH ROADMAP</t>
  </si>
  <si>
    <t>This is your complete action plan to reach six figures. Review this monthly and track your progress!</t>
  </si>
  <si>
    <t>Month</t>
  </si>
  <si>
    <t>Total Clients</t>
  </si>
  <si>
    <t>New Clients Added</t>
  </si>
  <si>
    <t>Avg Fee</t>
  </si>
  <si>
    <t>Monthly Revenue</t>
  </si>
  <si>
    <t>Annual Run Rate</t>
  </si>
  <si>
    <t>Leads Needed</t>
  </si>
  <si>
    <t>Sales Calls</t>
  </si>
  <si>
    <t>Milestone Actions</t>
  </si>
  <si>
    <t>Monthly Costs</t>
  </si>
  <si>
    <t>Net Profit</t>
  </si>
  <si>
    <t>% to Target</t>
  </si>
  <si>
    <t>YOUR TARGET</t>
  </si>
  <si>
    <t>Planned timeline (months):</t>
  </si>
  <si>
    <t>Total new clients to add:</t>
  </si>
  <si>
    <t>Target annual revenue:</t>
  </si>
  <si>
    <t>KEY ACTIONS TO TAKE THIS MONTH:</t>
  </si>
  <si>
    <t>1. Generate the number of leads shown in column G</t>
  </si>
  <si>
    <t>2. Hold the number of sales calls shown in column H</t>
  </si>
  <si>
    <t>3. Implement milestone actions from column I when you hit those client counts</t>
  </si>
  <si>
    <t>4. Track your actual progress vs. this plan and adjust as needed</t>
  </si>
  <si>
    <t>Oh</t>
  </si>
  <si>
    <t xml:space="preserve"> no. </t>
  </si>
  <si>
    <t>A '6 figure practice' isn't just £100,000 in revenue. Let's work out what it actually means for YOU.</t>
  </si>
  <si>
    <t>This is your REAL 6 figure target!</t>
  </si>
  <si>
    <t>YOUR 6 FIGURE BOOKKEEPING PRACTICE PLANNER</t>
  </si>
  <si>
    <t xml:space="preserve">  ✓ What '6 figures' actually means for YOUR business</t>
  </si>
  <si>
    <t>Design your ideal 6 figure practice.</t>
  </si>
  <si>
    <t>Note: Adjust your client numbers or fees above in cells C7 and C8 until the difference in cell c16 is as close to zero as possible (ie you have achieved your target)</t>
  </si>
  <si>
    <t xml:space="preserve">Scroll Down to row 44 to see your target and actions. </t>
  </si>
  <si>
    <t xml:space="preserve">5. Review your plan monthly -  your target completion month is the final row of the table above. </t>
  </si>
  <si>
    <t>2. Look for pink cells - these are where YOU input your numbers</t>
  </si>
  <si>
    <t>Max 36 Months (you've got this!) →</t>
  </si>
  <si>
    <t>TERMS OF USE:</t>
  </si>
  <si>
    <t>✓ This planner is for your personal business use only</t>
  </si>
  <si>
    <t>✓ You may NOT rebrand or claim this as your own work</t>
  </si>
  <si>
    <t>✓ Commercial use (selling to clients or using in paid programs) is prohibited without written permission</t>
  </si>
  <si>
    <t>This planner is provided "as-is" for informational purposes. While we've worked hard to ensure accuracy</t>
  </si>
  <si>
    <t xml:space="preserve"> </t>
  </si>
  <si>
    <t>you are responsible for verifying all calculations and seeking professional advice for your specific situation.</t>
  </si>
  <si>
    <t>© 2025 The 6 Figure Bookkeeper Ltd. All rights reserved.</t>
  </si>
  <si>
    <t>✓ You may customise it for your own bookkeeping practice</t>
  </si>
  <si>
    <t>✓ You may NOT share, sell, or redistribute this planner</t>
  </si>
  <si>
    <t>Questions? Email us at hello@6figurebookkeeper.com</t>
  </si>
  <si>
    <t xml:space="preserve">Congratulations! You now know exactly what you need to do to build your six-figure practice.
</t>
  </si>
  <si>
    <t>You know:</t>
  </si>
  <si>
    <t>✓ How many clients you need</t>
  </si>
  <si>
    <t>✓ What to charge them</t>
  </si>
  <si>
    <t>✓ How many leads to generate</t>
  </si>
  <si>
    <t>✓ When to hire and scale</t>
  </si>
  <si>
    <t>✓ Your month-by-month roadmap</t>
  </si>
  <si>
    <t>BUT HERE'S THE THING….</t>
  </si>
  <si>
    <t>Knowing WHAT to do and knowing HOW to do it are two different things.</t>
  </si>
  <si>
    <t>Generate those leads every month?</t>
  </si>
  <si>
    <t>Convert sales conversations at 60%+?</t>
  </si>
  <si>
    <t>Position yourself for premium pricing?</t>
  </si>
  <si>
    <t>Move existing clients to higher fees?</t>
  </si>
  <si>
    <t>Hire and manage your first team member?</t>
  </si>
  <si>
    <t>Implement systems that actually work?</t>
  </si>
  <si>
    <t>Stay accountable when it gets hard?</t>
  </si>
  <si>
    <t>HOW DO YOU ACTUALLY:</t>
  </si>
  <si>
    <t>We don't just give you the plan. We show you how to execute it.</t>
  </si>
  <si>
    <t>Step-by-step training on marketing, sales, pricing, and scaling</t>
  </si>
  <si>
    <t>Real strategies that work for real bookkeeping practices</t>
  </si>
  <si>
    <t>Support when you're stuck, celebration when you win</t>
  </si>
  <si>
    <t>Live calls with Zoe &amp; Jo</t>
  </si>
  <si>
    <t>A community of bookkeepers who've been where you are</t>
  </si>
  <si>
    <t>Inside, you get:</t>
  </si>
  <si>
    <t>THAT'S EXACTLY WHAT WE DO IN THE BOOKKEEPER'S COLLECTIVE</t>
  </si>
  <si>
    <t>YOU'VE GOT YOUR PLAN, NOW LET'S MAKE IT HAPPEN</t>
  </si>
  <si>
    <t>JOIN US TODAY TO PUT YOUR PLAN INTO ACTION</t>
  </si>
  <si>
    <t>Find out more about The Bookkeepers' Collective here</t>
  </si>
  <si>
    <t>6figurebookkeeper.com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</si>
</sst>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31" x14ac:knownFonts="1">
    <font>
      <sz val="11"/>
      <color theme="1"/>
      <name val="Calibri"/>
      <family val="2"/>
      <charset val="1"/>
    </font>
    <font>
      <b/>
      <sz val="13"/>
      <color theme="3"/>
      <name val="Calibri"/>
      <family val="2"/>
      <scheme val="minor"/>
    </font>
    <font>
      <b/>
      <sz val="11"/>
      <color theme="3"/>
      <name val="Calibri"/>
      <family val="2"/>
      <scheme val="minor"/>
    </font>
    <font>
      <b/>
      <sz val="12"/>
      <color theme="0"/>
      <name val="Calibri"/>
      <family val="2"/>
      <scheme val="minor"/>
    </font>
    <font>
      <b/>
      <sz val="16"/>
      <color rgb="FF0000FF"/>
      <name val="Calibri"/>
      <family val="2"/>
      <scheme val="minor"/>
    </font>
    <font>
      <sz val="11"/>
      <color theme="1"/>
      <name val="Calibri"/>
      <family val="2"/>
      <scheme val="minor"/>
    </font>
    <font>
      <i/>
      <sz val="11"/>
      <name val="Calibri"/>
      <family val="2"/>
      <scheme val="minor"/>
    </font>
    <font>
      <b/>
      <sz val="11"/>
      <name val="Calibri"/>
      <family val="2"/>
      <scheme val="minor"/>
    </font>
    <font>
      <sz val="11"/>
      <color rgb="FF000000"/>
      <name val="Calibri"/>
      <family val="2"/>
      <scheme val="minor"/>
    </font>
    <font>
      <sz val="9"/>
      <name val="Calibri"/>
      <family val="2"/>
      <scheme val="minor"/>
    </font>
    <font>
      <sz val="11"/>
      <name val="Calibri"/>
      <family val="2"/>
      <scheme val="minor"/>
    </font>
    <font>
      <sz val="11"/>
      <color rgb="FF008000"/>
      <name val="Calibri"/>
      <family val="2"/>
      <scheme val="minor"/>
    </font>
    <font>
      <i/>
      <sz val="10"/>
      <name val="Calibri"/>
      <family val="2"/>
      <scheme val="minor"/>
    </font>
    <font>
      <sz val="10"/>
      <name val="Calibri"/>
      <family val="2"/>
      <scheme val="minor"/>
    </font>
    <font>
      <b/>
      <sz val="16"/>
      <color theme="3"/>
      <name val="Calibri"/>
      <family val="2"/>
      <scheme val="minor"/>
    </font>
    <font>
      <b/>
      <sz val="14"/>
      <color theme="3"/>
      <name val="Calibri"/>
      <family val="2"/>
      <scheme val="minor"/>
    </font>
    <font>
      <sz val="11"/>
      <color theme="3"/>
      <name val="Calibri"/>
      <family val="2"/>
      <scheme val="minor"/>
    </font>
    <font>
      <b/>
      <sz val="12"/>
      <color theme="3"/>
      <name val="Calibri"/>
      <family val="2"/>
      <scheme val="minor"/>
    </font>
    <font>
      <b/>
      <sz val="18"/>
      <color theme="3"/>
      <name val="Calibri"/>
      <family val="2"/>
      <scheme val="minor"/>
    </font>
    <font>
      <b/>
      <sz val="11"/>
      <color theme="1"/>
      <name val="Calibri"/>
      <family val="2"/>
      <scheme val="minor"/>
    </font>
    <font>
      <b/>
      <sz val="14"/>
      <color theme="0"/>
      <name val="Calibri"/>
      <family val="2"/>
      <scheme val="minor"/>
    </font>
    <font>
      <sz val="11"/>
      <color theme="0"/>
      <name val="Calibri"/>
      <family val="2"/>
      <scheme val="minor"/>
    </font>
    <font>
      <b/>
      <sz val="11"/>
      <color theme="0"/>
      <name val="Calibri"/>
      <family val="2"/>
      <scheme val="minor"/>
    </font>
    <font>
      <b/>
      <sz val="10"/>
      <color theme="0"/>
      <name val="Calibri"/>
      <family val="2"/>
      <scheme val="minor"/>
    </font>
    <font>
      <b/>
      <sz val="12"/>
      <color theme="3"/>
      <name val="Calibri"/>
      <family val="2"/>
    </font>
    <font>
      <b/>
      <sz val="11"/>
      <color theme="1"/>
      <name val="Calibri"/>
      <family val="2"/>
      <charset val="1"/>
    </font>
    <font>
      <b/>
      <i/>
      <sz val="11"/>
      <name val="Calibri"/>
      <family val="2"/>
      <scheme val="minor"/>
    </font>
    <font>
      <u/>
      <sz val="11"/>
      <color theme="10"/>
      <name val="Calibri"/>
      <family val="2"/>
      <charset val="1"/>
    </font>
    <font>
      <b/>
      <u/>
      <sz val="12"/>
      <color theme="3"/>
      <name val="Calibri"/>
      <family val="2"/>
    </font>
    <font>
      <b/>
      <sz val="12"/>
      <color theme="1"/>
      <name val="Calibri"/>
      <family val="2"/>
    </font>
    <font>
      <sz val="11"/>
      <color theme="0" tint="-0.34998626667073579"/>
      <name val="Calibri"/>
      <family val="2"/>
      <scheme val="minor"/>
    </font>
  </fonts>
  <fills count="10">
    <fill>
      <patternFill patternType="none"/>
    </fill>
    <fill>
      <patternFill patternType="gray125"/>
    </fill>
    <fill>
      <patternFill patternType="solid">
        <fgColor rgb="FFFF8AD8"/>
        <bgColor rgb="FF339966"/>
      </patternFill>
    </fill>
    <fill>
      <patternFill patternType="solid">
        <fgColor rgb="FFFF8AD8"/>
        <bgColor indexed="64"/>
      </patternFill>
    </fill>
    <fill>
      <patternFill patternType="solid">
        <fgColor rgb="FFFF8AD8"/>
        <bgColor rgb="FFFFFF00"/>
      </patternFill>
    </fill>
    <fill>
      <patternFill patternType="solid">
        <fgColor rgb="FFFF8AD8"/>
        <bgColor rgb="FFFFFFFF"/>
      </patternFill>
    </fill>
    <fill>
      <patternFill patternType="solid">
        <fgColor theme="3"/>
        <bgColor indexed="64"/>
      </patternFill>
    </fill>
    <fill>
      <patternFill patternType="solid">
        <fgColor theme="3"/>
        <bgColor rgb="FFFFFF00"/>
      </patternFill>
    </fill>
    <fill>
      <patternFill patternType="solid">
        <fgColor theme="3"/>
        <bgColor rgb="FFD4EDDA"/>
      </patternFill>
    </fill>
    <fill>
      <patternFill patternType="solid">
        <fgColor theme="3"/>
        <bgColor rgb="FF666699"/>
      </patternFill>
    </fill>
  </fills>
  <borders count="1">
    <border>
      <left/>
      <right/>
      <top/>
      <bottom/>
      <diagonal/>
    </border>
  </borders>
  <cellStyleXfs count="2">
    <xf numFmtId="0" fontId="0" fillId="0" borderId="0"/>
    <xf numFmtId="0" fontId="27" fillId="0" borderId="0" applyNumberFormat="0" applyFill="0" applyBorder="0" applyAlignment="0" applyProtection="0"/>
  </cellStyleXfs>
  <cellXfs count="55">
    <xf numFmtId="0" fontId="0" fillId="0" borderId="0" xfId="0"/>
    <xf numFmtId="0" fontId="5" fillId="0" borderId="0" xfId="0" applyFont="1"/>
    <xf numFmtId="0" fontId="7" fillId="0" borderId="0" xfId="0" applyFont="1" applyAlignment="1">
      <alignment horizontal="center"/>
    </xf>
    <xf numFmtId="1" fontId="8" fillId="0" borderId="0" xfId="0" applyNumberFormat="1" applyFont="1"/>
    <xf numFmtId="165" fontId="8" fillId="0" borderId="0" xfId="0" applyNumberFormat="1" applyFont="1"/>
    <xf numFmtId="164" fontId="8" fillId="0" borderId="0" xfId="0" applyNumberFormat="1" applyFont="1"/>
    <xf numFmtId="0" fontId="9" fillId="0" borderId="0" xfId="0" applyFont="1" applyAlignment="1">
      <alignment wrapText="1"/>
    </xf>
    <xf numFmtId="9" fontId="8" fillId="0" borderId="0" xfId="0" applyNumberFormat="1" applyFont="1"/>
    <xf numFmtId="1" fontId="7" fillId="0" borderId="0" xfId="0" applyNumberFormat="1" applyFont="1"/>
    <xf numFmtId="164" fontId="7" fillId="0" borderId="0" xfId="0" applyNumberFormat="1" applyFont="1"/>
    <xf numFmtId="0" fontId="10" fillId="0" borderId="0" xfId="0" applyFont="1"/>
    <xf numFmtId="0" fontId="7" fillId="0" borderId="0" xfId="0" applyFont="1"/>
    <xf numFmtId="0" fontId="12" fillId="0" borderId="0" xfId="0" applyFont="1"/>
    <xf numFmtId="1" fontId="11" fillId="0" borderId="0" xfId="0" applyNumberFormat="1" applyFont="1"/>
    <xf numFmtId="0" fontId="15" fillId="2" borderId="0" xfId="0" applyFont="1" applyFill="1"/>
    <xf numFmtId="0" fontId="16" fillId="3" borderId="0" xfId="0" applyFont="1" applyFill="1"/>
    <xf numFmtId="0" fontId="17" fillId="4" borderId="0" xfId="0" applyFont="1" applyFill="1"/>
    <xf numFmtId="0" fontId="15" fillId="0" borderId="0" xfId="0" applyFont="1"/>
    <xf numFmtId="0" fontId="2" fillId="0" borderId="0" xfId="0" applyFont="1"/>
    <xf numFmtId="0" fontId="14" fillId="3" borderId="0" xfId="0" applyFont="1" applyFill="1"/>
    <xf numFmtId="0" fontId="17" fillId="0" borderId="0" xfId="0" applyFont="1"/>
    <xf numFmtId="164" fontId="19" fillId="5" borderId="0" xfId="0" applyNumberFormat="1" applyFont="1" applyFill="1"/>
    <xf numFmtId="9" fontId="19" fillId="5" borderId="0" xfId="0" applyNumberFormat="1" applyFont="1" applyFill="1"/>
    <xf numFmtId="0" fontId="20" fillId="6" borderId="0" xfId="0" applyFont="1" applyFill="1"/>
    <xf numFmtId="0" fontId="21" fillId="6" borderId="0" xfId="0" applyFont="1" applyFill="1"/>
    <xf numFmtId="164" fontId="20" fillId="7" borderId="0" xfId="0" applyNumberFormat="1" applyFont="1" applyFill="1"/>
    <xf numFmtId="1" fontId="2" fillId="5" borderId="0" xfId="0" applyNumberFormat="1" applyFont="1" applyFill="1"/>
    <xf numFmtId="164" fontId="2" fillId="5" borderId="0" xfId="0" applyNumberFormat="1" applyFont="1" applyFill="1"/>
    <xf numFmtId="0" fontId="2" fillId="5" borderId="0" xfId="0" applyFont="1" applyFill="1"/>
    <xf numFmtId="164" fontId="16" fillId="0" borderId="0" xfId="0" applyNumberFormat="1" applyFont="1"/>
    <xf numFmtId="0" fontId="14" fillId="0" borderId="0" xfId="0" applyFont="1"/>
    <xf numFmtId="0" fontId="18" fillId="3" borderId="0" xfId="0" applyFont="1" applyFill="1"/>
    <xf numFmtId="0" fontId="4" fillId="0" borderId="0" xfId="0" applyFont="1"/>
    <xf numFmtId="1" fontId="20" fillId="7" borderId="0" xfId="0" applyNumberFormat="1" applyFont="1" applyFill="1"/>
    <xf numFmtId="1" fontId="16" fillId="0" borderId="0" xfId="0" applyNumberFormat="1" applyFont="1"/>
    <xf numFmtId="0" fontId="16" fillId="0" borderId="0" xfId="0" applyFont="1"/>
    <xf numFmtId="9" fontId="2" fillId="5" borderId="0" xfId="0" applyNumberFormat="1" applyFont="1" applyFill="1"/>
    <xf numFmtId="165" fontId="20" fillId="7" borderId="0" xfId="0" applyNumberFormat="1" applyFont="1" applyFill="1"/>
    <xf numFmtId="0" fontId="3" fillId="8" borderId="0" xfId="0" applyFont="1" applyFill="1"/>
    <xf numFmtId="0" fontId="22" fillId="8" borderId="0" xfId="0" applyFont="1" applyFill="1"/>
    <xf numFmtId="0" fontId="23" fillId="9" borderId="0" xfId="0" applyFont="1" applyFill="1" applyAlignment="1">
      <alignment horizontal="center" vertical="top" wrapText="1"/>
    </xf>
    <xf numFmtId="0" fontId="6" fillId="0" borderId="0" xfId="0" applyFont="1"/>
    <xf numFmtId="0" fontId="1" fillId="0" borderId="0" xfId="0" applyFont="1"/>
    <xf numFmtId="0" fontId="2" fillId="0" borderId="0" xfId="0" applyFont="1"/>
    <xf numFmtId="0" fontId="13" fillId="0" borderId="0" xfId="0" applyFont="1"/>
    <xf numFmtId="0" fontId="12" fillId="0" borderId="0" xfId="0" applyFont="1"/>
    <xf numFmtId="0" fontId="14" fillId="3" borderId="0" xfId="0" applyFont="1" applyFill="1"/>
    <xf numFmtId="0" fontId="4" fillId="3" borderId="0" xfId="0" applyFont="1" applyFill="1"/>
    <xf numFmtId="0" fontId="0" fillId="3" borderId="0" xfId="0" applyFill="1"/>
    <xf numFmtId="0" fontId="24" fillId="0" borderId="0" xfId="0" applyFont="1"/>
    <xf numFmtId="0" fontId="25" fillId="0" borderId="0" xfId="0" applyFont="1"/>
    <xf numFmtId="0" fontId="26" fillId="0" borderId="0" xfId="0" applyFont="1" applyAlignment="1">
      <alignment horizontal="left" wrapText="1"/>
    </xf>
    <xf numFmtId="0" fontId="28" fillId="3" borderId="0" xfId="1" applyFont="1" applyFill="1"/>
    <xf numFmtId="0" fontId="29" fillId="3" borderId="0" xfId="0" applyFont="1" applyFill="1"/>
    <xf numFmtId="0" fontId="30" fillId="0" borderId="0" xfId="0" applyFont="1"/>
  </cellXfs>
  <cellStyles count="2">
    <cellStyle name="Hyperlink" xfId="1" builtinId="8"/>
    <cellStyle name="Normal" xfId="0" builtinId="0"/>
  </cellStyles>
  <dxfs count="1">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7F3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4EDDA"/>
      <rgbColor rgb="FFFFFF99"/>
      <rgbColor rgb="FF99CCFF"/>
      <rgbColor rgb="FFFF99CC"/>
      <rgbColor rgb="FFCC99FF"/>
      <rgbColor rgb="FFFFCC99"/>
      <rgbColor rgb="FF4472C4"/>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hyperlink" Target="http://6figurebookkeep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tabSelected="1" zoomScaleNormal="100" workbookViewId="0"/>
  </sheetViews>
  <sheetFormatPr baseColWidth="10" defaultColWidth="8.6640625" defaultRowHeight="15" x14ac:dyDescent="0.2"/>
  <cols>
    <col min="1" max="1" width="100" style="1" customWidth="1"/>
    <col min="2" max="16384" width="8.6640625" style="1"/>
  </cols>
  <sheetData>
    <row r="1" spans="1:1" ht="24" x14ac:dyDescent="0.3">
      <c r="A1" s="31" t="s">
        <v>121</v>
      </c>
    </row>
    <row r="3" spans="1:1" ht="19" x14ac:dyDescent="0.25">
      <c r="A3" s="17" t="s">
        <v>0</v>
      </c>
    </row>
    <row r="5" spans="1:1" x14ac:dyDescent="0.2">
      <c r="A5" s="1" t="s">
        <v>1</v>
      </c>
    </row>
    <row r="6" spans="1:1" x14ac:dyDescent="0.2">
      <c r="A6" s="1" t="s">
        <v>2</v>
      </c>
    </row>
    <row r="7" spans="1:1" x14ac:dyDescent="0.2">
      <c r="A7" s="1" t="s">
        <v>122</v>
      </c>
    </row>
    <row r="8" spans="1:1" x14ac:dyDescent="0.2">
      <c r="A8" s="1" t="s">
        <v>3</v>
      </c>
    </row>
    <row r="9" spans="1:1" x14ac:dyDescent="0.2">
      <c r="A9" s="1" t="s">
        <v>4</v>
      </c>
    </row>
    <row r="10" spans="1:1" x14ac:dyDescent="0.2">
      <c r="A10" s="1" t="s">
        <v>5</v>
      </c>
    </row>
    <row r="11" spans="1:1" x14ac:dyDescent="0.2">
      <c r="A11" s="1" t="s">
        <v>6</v>
      </c>
    </row>
    <row r="13" spans="1:1" x14ac:dyDescent="0.2">
      <c r="A13" s="18" t="s">
        <v>7</v>
      </c>
    </row>
    <row r="15" spans="1:1" x14ac:dyDescent="0.2">
      <c r="A15" s="1" t="s">
        <v>8</v>
      </c>
    </row>
    <row r="16" spans="1:1" x14ac:dyDescent="0.2">
      <c r="A16" s="1" t="s">
        <v>127</v>
      </c>
    </row>
    <row r="17" spans="1:1" x14ac:dyDescent="0.2">
      <c r="A17" s="1" t="s">
        <v>9</v>
      </c>
    </row>
    <row r="18" spans="1:1" x14ac:dyDescent="0.2">
      <c r="A18" s="1" t="s">
        <v>10</v>
      </c>
    </row>
    <row r="19" spans="1:1" x14ac:dyDescent="0.2">
      <c r="A19" s="1" t="s">
        <v>11</v>
      </c>
    </row>
    <row r="21" spans="1:1" x14ac:dyDescent="0.2">
      <c r="A21" s="18" t="s">
        <v>12</v>
      </c>
    </row>
    <row r="22" spans="1:1" x14ac:dyDescent="0.2">
      <c r="A22" s="1" t="s">
        <v>13</v>
      </c>
    </row>
    <row r="23" spans="1:1" x14ac:dyDescent="0.2">
      <c r="A23" s="1" t="s">
        <v>14</v>
      </c>
    </row>
    <row r="25" spans="1:1" x14ac:dyDescent="0.2">
      <c r="A25" s="18" t="s">
        <v>15</v>
      </c>
    </row>
    <row r="28" spans="1:1" s="54" customFormat="1" x14ac:dyDescent="0.2">
      <c r="A28" s="54" t="s">
        <v>136</v>
      </c>
    </row>
    <row r="29" spans="1:1" s="54" customFormat="1" x14ac:dyDescent="0.2"/>
    <row r="30" spans="1:1" s="54" customFormat="1" x14ac:dyDescent="0.2">
      <c r="A30" s="54" t="s">
        <v>129</v>
      </c>
    </row>
    <row r="31" spans="1:1" s="54" customFormat="1" x14ac:dyDescent="0.2">
      <c r="A31" s="54" t="s">
        <v>130</v>
      </c>
    </row>
    <row r="32" spans="1:1" s="54" customFormat="1" x14ac:dyDescent="0.2">
      <c r="A32" s="54" t="s">
        <v>137</v>
      </c>
    </row>
    <row r="33" spans="1:2" s="54" customFormat="1" x14ac:dyDescent="0.2">
      <c r="A33" s="54" t="s">
        <v>138</v>
      </c>
    </row>
    <row r="34" spans="1:2" s="54" customFormat="1" x14ac:dyDescent="0.2">
      <c r="A34" s="54" t="s">
        <v>131</v>
      </c>
    </row>
    <row r="35" spans="1:2" s="54" customFormat="1" x14ac:dyDescent="0.2">
      <c r="A35" s="54" t="s">
        <v>132</v>
      </c>
    </row>
    <row r="36" spans="1:2" s="54" customFormat="1" x14ac:dyDescent="0.2"/>
    <row r="37" spans="1:2" s="54" customFormat="1" x14ac:dyDescent="0.2">
      <c r="A37" s="54" t="s">
        <v>133</v>
      </c>
      <c r="B37" s="54" t="s">
        <v>134</v>
      </c>
    </row>
    <row r="38" spans="1:2" s="54" customFormat="1" x14ac:dyDescent="0.2">
      <c r="A38" s="54" t="s">
        <v>135</v>
      </c>
    </row>
    <row r="39" spans="1:2" s="54" customFormat="1" x14ac:dyDescent="0.2"/>
    <row r="40" spans="1:2" s="54" customFormat="1" x14ac:dyDescent="0.2">
      <c r="A40" s="54" t="s">
        <v>139</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5"/>
  <sheetViews>
    <sheetView zoomScaleNormal="100" workbookViewId="0"/>
  </sheetViews>
  <sheetFormatPr baseColWidth="10" defaultColWidth="8.6640625" defaultRowHeight="15" x14ac:dyDescent="0.2"/>
  <cols>
    <col min="1" max="1" width="39.83203125" style="1" bestFit="1" customWidth="1"/>
    <col min="2" max="2" width="30" style="1" customWidth="1"/>
    <col min="3" max="3" width="20" style="1" customWidth="1"/>
    <col min="4" max="4" width="5" style="1" customWidth="1"/>
    <col min="5" max="16384" width="8.6640625" style="1"/>
  </cols>
  <sheetData>
    <row r="1" spans="1:4" ht="21" x14ac:dyDescent="0.25">
      <c r="A1" s="19" t="s">
        <v>16</v>
      </c>
      <c r="B1" s="19"/>
      <c r="C1" s="19"/>
    </row>
    <row r="3" spans="1:4" x14ac:dyDescent="0.2">
      <c r="A3" s="41" t="s">
        <v>119</v>
      </c>
      <c r="B3" s="41"/>
      <c r="C3" s="41"/>
      <c r="D3" s="41"/>
    </row>
    <row r="5" spans="1:4" ht="16" x14ac:dyDescent="0.2">
      <c r="A5" s="20" t="s">
        <v>17</v>
      </c>
    </row>
    <row r="7" spans="1:4" x14ac:dyDescent="0.2">
      <c r="A7" s="1" t="s">
        <v>18</v>
      </c>
      <c r="B7" s="1" t="s">
        <v>19</v>
      </c>
      <c r="C7" s="21">
        <v>60000</v>
      </c>
    </row>
    <row r="9" spans="1:4" ht="16" x14ac:dyDescent="0.2">
      <c r="A9" s="20" t="s">
        <v>20</v>
      </c>
    </row>
    <row r="11" spans="1:4" x14ac:dyDescent="0.2">
      <c r="A11" s="1" t="s">
        <v>21</v>
      </c>
      <c r="B11" s="1" t="s">
        <v>22</v>
      </c>
      <c r="C11" s="22">
        <v>0.33</v>
      </c>
    </row>
    <row r="13" spans="1:4" ht="16" x14ac:dyDescent="0.2">
      <c r="A13" s="20" t="s">
        <v>23</v>
      </c>
    </row>
    <row r="15" spans="1:4" x14ac:dyDescent="0.2">
      <c r="A15" s="1" t="s">
        <v>24</v>
      </c>
      <c r="B15" s="1" t="s">
        <v>25</v>
      </c>
      <c r="C15" s="22">
        <v>0.25</v>
      </c>
    </row>
    <row r="18" spans="1:3" ht="17" x14ac:dyDescent="0.2">
      <c r="A18" s="42" t="s">
        <v>26</v>
      </c>
      <c r="B18" s="42"/>
      <c r="C18" s="42"/>
    </row>
    <row r="20" spans="1:3" x14ac:dyDescent="0.2">
      <c r="A20" s="1" t="s">
        <v>27</v>
      </c>
      <c r="C20" s="5">
        <f>C7</f>
        <v>60000</v>
      </c>
    </row>
    <row r="21" spans="1:3" x14ac:dyDescent="0.2">
      <c r="A21" s="1" t="s">
        <v>28</v>
      </c>
      <c r="C21" s="5">
        <f>C7*C15</f>
        <v>15000</v>
      </c>
    </row>
    <row r="22" spans="1:3" x14ac:dyDescent="0.2">
      <c r="A22" s="1" t="s">
        <v>29</v>
      </c>
      <c r="C22" s="9">
        <f>C20+C21</f>
        <v>75000</v>
      </c>
    </row>
    <row r="24" spans="1:3" x14ac:dyDescent="0.2">
      <c r="A24" s="1" t="s">
        <v>30</v>
      </c>
      <c r="B24" s="1" t="s">
        <v>31</v>
      </c>
      <c r="C24" s="5">
        <f>C22/(1-C11)*C11</f>
        <v>36940.298507462692</v>
      </c>
    </row>
    <row r="26" spans="1:3" ht="19" x14ac:dyDescent="0.25">
      <c r="A26" s="23" t="s">
        <v>32</v>
      </c>
      <c r="B26" s="24"/>
      <c r="C26" s="25">
        <f>C22+C24</f>
        <v>111940.29850746269</v>
      </c>
    </row>
    <row r="28" spans="1:3" x14ac:dyDescent="0.2">
      <c r="A28" s="41" t="s">
        <v>120</v>
      </c>
      <c r="B28" s="41"/>
      <c r="C28" s="41"/>
    </row>
    <row r="30" spans="1:3" x14ac:dyDescent="0.2">
      <c r="A30" s="43" t="s">
        <v>33</v>
      </c>
      <c r="B30" s="43"/>
      <c r="C30" s="43"/>
    </row>
    <row r="33" spans="1:9" x14ac:dyDescent="0.2">
      <c r="A33" s="1" t="s">
        <v>136</v>
      </c>
    </row>
    <row r="45" spans="1:9" x14ac:dyDescent="0.2">
      <c r="H45" s="1" t="s">
        <v>117</v>
      </c>
      <c r="I45" s="1" t="s">
        <v>118</v>
      </c>
    </row>
  </sheetData>
  <mergeCells count="4">
    <mergeCell ref="A3:D3"/>
    <mergeCell ref="A18:C18"/>
    <mergeCell ref="A28:C28"/>
    <mergeCell ref="A30:C30"/>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zoomScaleNormal="100" workbookViewId="0"/>
  </sheetViews>
  <sheetFormatPr baseColWidth="10" defaultColWidth="8.6640625" defaultRowHeight="15" x14ac:dyDescent="0.2"/>
  <cols>
    <col min="1" max="1" width="40" style="1" customWidth="1"/>
    <col min="2" max="2" width="21.6640625" style="1" customWidth="1"/>
    <col min="3" max="3" width="20" style="1" customWidth="1"/>
    <col min="4" max="4" width="5" style="1" customWidth="1"/>
    <col min="5" max="16384" width="8.6640625" style="1"/>
  </cols>
  <sheetData>
    <row r="1" spans="1:4" ht="21" x14ac:dyDescent="0.25">
      <c r="A1" s="19" t="s">
        <v>34</v>
      </c>
      <c r="B1" s="19"/>
      <c r="C1" s="19"/>
      <c r="D1" s="30"/>
    </row>
    <row r="3" spans="1:4" x14ac:dyDescent="0.2">
      <c r="A3" s="41" t="s">
        <v>35</v>
      </c>
      <c r="B3" s="41"/>
      <c r="C3" s="41"/>
      <c r="D3" s="41"/>
    </row>
    <row r="5" spans="1:4" ht="16" x14ac:dyDescent="0.2">
      <c r="A5" s="20" t="s">
        <v>36</v>
      </c>
    </row>
    <row r="7" spans="1:4" x14ac:dyDescent="0.2">
      <c r="A7" s="1" t="s">
        <v>37</v>
      </c>
      <c r="C7" s="26">
        <v>20</v>
      </c>
    </row>
    <row r="8" spans="1:4" x14ac:dyDescent="0.2">
      <c r="A8" s="1" t="s">
        <v>38</v>
      </c>
      <c r="C8" s="27">
        <v>200</v>
      </c>
    </row>
    <row r="9" spans="1:4" x14ac:dyDescent="0.2">
      <c r="A9" s="1" t="s">
        <v>39</v>
      </c>
      <c r="C9" s="5">
        <f>C7*C8*12</f>
        <v>48000</v>
      </c>
    </row>
    <row r="11" spans="1:4" ht="16" x14ac:dyDescent="0.2">
      <c r="A11" s="20" t="s">
        <v>40</v>
      </c>
    </row>
    <row r="13" spans="1:4" x14ac:dyDescent="0.2">
      <c r="A13" s="1" t="s">
        <v>41</v>
      </c>
      <c r="C13" s="29">
        <f>'Perfect P&amp;L'!C26</f>
        <v>111940.29850746269</v>
      </c>
    </row>
    <row r="14" spans="1:4" x14ac:dyDescent="0.2">
      <c r="A14" s="1" t="s">
        <v>42</v>
      </c>
      <c r="C14" s="5">
        <f>C9</f>
        <v>48000</v>
      </c>
    </row>
    <row r="16" spans="1:4" ht="19" x14ac:dyDescent="0.25">
      <c r="A16" s="23" t="s">
        <v>43</v>
      </c>
      <c r="B16" s="24"/>
      <c r="C16" s="25">
        <f>C13-C14</f>
        <v>63940.298507462692</v>
      </c>
    </row>
    <row r="18" spans="1:4" x14ac:dyDescent="0.2">
      <c r="A18" s="43" t="s">
        <v>44</v>
      </c>
      <c r="B18" s="43"/>
      <c r="C18" s="43"/>
      <c r="D18" s="43"/>
    </row>
    <row r="21" spans="1:4" x14ac:dyDescent="0.2">
      <c r="A21" s="1" t="s">
        <v>136</v>
      </c>
    </row>
  </sheetData>
  <mergeCells count="2">
    <mergeCell ref="A3:D3"/>
    <mergeCell ref="A18:D1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heetViews>
  <sheetFormatPr baseColWidth="10" defaultColWidth="8.6640625" defaultRowHeight="15" x14ac:dyDescent="0.2"/>
  <cols>
    <col min="1" max="1" width="40" style="1" customWidth="1"/>
    <col min="2" max="2" width="25" style="1" customWidth="1"/>
    <col min="3" max="3" width="20" style="1" customWidth="1"/>
    <col min="4" max="4" width="5" style="1" customWidth="1"/>
    <col min="5" max="16384" width="8.6640625" style="1"/>
  </cols>
  <sheetData>
    <row r="1" spans="1:4" ht="21" x14ac:dyDescent="0.25">
      <c r="A1" s="19" t="s">
        <v>45</v>
      </c>
      <c r="B1" s="19"/>
      <c r="C1" s="19"/>
      <c r="D1" s="32"/>
    </row>
    <row r="3" spans="1:4" x14ac:dyDescent="0.2">
      <c r="A3" s="41" t="s">
        <v>123</v>
      </c>
      <c r="B3" s="41"/>
      <c r="C3" s="41"/>
      <c r="D3" s="41"/>
    </row>
    <row r="5" spans="1:4" ht="16" x14ac:dyDescent="0.2">
      <c r="A5" s="20" t="s">
        <v>46</v>
      </c>
    </row>
    <row r="7" spans="1:4" x14ac:dyDescent="0.2">
      <c r="A7" s="1" t="s">
        <v>47</v>
      </c>
      <c r="C7" s="26">
        <v>32</v>
      </c>
    </row>
    <row r="8" spans="1:4" x14ac:dyDescent="0.2">
      <c r="A8" s="1" t="s">
        <v>38</v>
      </c>
      <c r="C8" s="27">
        <v>300</v>
      </c>
    </row>
    <row r="10" spans="1:4" x14ac:dyDescent="0.2">
      <c r="A10" s="1" t="s">
        <v>48</v>
      </c>
      <c r="C10" s="9">
        <f>C7*C8*12</f>
        <v>115200</v>
      </c>
    </row>
    <row r="12" spans="1:4" ht="16" x14ac:dyDescent="0.2">
      <c r="A12" s="20" t="s">
        <v>49</v>
      </c>
    </row>
    <row r="14" spans="1:4" x14ac:dyDescent="0.2">
      <c r="A14" s="1" t="s">
        <v>41</v>
      </c>
      <c r="C14" s="29">
        <f>'Perfect P&amp;L'!C26</f>
        <v>111940.29850746269</v>
      </c>
    </row>
    <row r="15" spans="1:4" x14ac:dyDescent="0.2">
      <c r="A15" s="1" t="s">
        <v>50</v>
      </c>
      <c r="C15" s="5">
        <f>C10</f>
        <v>115200</v>
      </c>
    </row>
    <row r="16" spans="1:4" x14ac:dyDescent="0.2">
      <c r="A16" s="1" t="s">
        <v>51</v>
      </c>
      <c r="C16" s="5">
        <f>C15-C14</f>
        <v>3259.7014925373078</v>
      </c>
    </row>
    <row r="18" spans="1:4" x14ac:dyDescent="0.2">
      <c r="A18" s="12" t="s">
        <v>124</v>
      </c>
      <c r="B18" s="12"/>
      <c r="C18" s="12"/>
      <c r="D18" s="12"/>
    </row>
    <row r="20" spans="1:4" ht="16" x14ac:dyDescent="0.2">
      <c r="A20" s="20" t="s">
        <v>52</v>
      </c>
    </row>
    <row r="22" spans="1:4" x14ac:dyDescent="0.2">
      <c r="A22" s="1" t="s">
        <v>53</v>
      </c>
      <c r="C22" s="34">
        <f>'Current State'!C7</f>
        <v>20</v>
      </c>
    </row>
    <row r="23" spans="1:4" x14ac:dyDescent="0.2">
      <c r="A23" s="1" t="s">
        <v>54</v>
      </c>
      <c r="C23" s="34">
        <f>C7</f>
        <v>32</v>
      </c>
    </row>
    <row r="25" spans="1:4" ht="19" x14ac:dyDescent="0.25">
      <c r="A25" s="23" t="s">
        <v>55</v>
      </c>
      <c r="B25" s="24"/>
      <c r="C25" s="33">
        <f>C23-C22</f>
        <v>12</v>
      </c>
    </row>
    <row r="27" spans="1:4" x14ac:dyDescent="0.2">
      <c r="A27" s="43" t="s">
        <v>56</v>
      </c>
      <c r="B27" s="43"/>
      <c r="C27" s="43"/>
      <c r="D27" s="43"/>
    </row>
    <row r="30" spans="1:4" x14ac:dyDescent="0.2">
      <c r="A30" s="1" t="s">
        <v>136</v>
      </c>
    </row>
  </sheetData>
  <mergeCells count="2">
    <mergeCell ref="A3:D3"/>
    <mergeCell ref="A27:D2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zoomScaleNormal="100" workbookViewId="0"/>
  </sheetViews>
  <sheetFormatPr baseColWidth="10" defaultColWidth="8.6640625" defaultRowHeight="15" x14ac:dyDescent="0.2"/>
  <cols>
    <col min="1" max="1" width="40" style="1" customWidth="1"/>
    <col min="2" max="2" width="30" style="1" customWidth="1"/>
    <col min="3" max="3" width="20" style="1" customWidth="1"/>
    <col min="4" max="4" width="5" style="1" customWidth="1"/>
    <col min="5" max="16384" width="8.6640625" style="1"/>
  </cols>
  <sheetData>
    <row r="1" spans="1:4" ht="21" x14ac:dyDescent="0.25">
      <c r="A1" s="19" t="s">
        <v>57</v>
      </c>
      <c r="B1" s="19"/>
      <c r="C1" s="19"/>
      <c r="D1" s="32"/>
    </row>
    <row r="3" spans="1:4" x14ac:dyDescent="0.2">
      <c r="A3" s="41" t="s">
        <v>58</v>
      </c>
      <c r="B3" s="41"/>
      <c r="C3" s="41"/>
      <c r="D3" s="41"/>
    </row>
    <row r="5" spans="1:4" ht="16" x14ac:dyDescent="0.2">
      <c r="A5" s="20" t="s">
        <v>59</v>
      </c>
    </row>
    <row r="7" spans="1:4" x14ac:dyDescent="0.2">
      <c r="A7" s="1" t="s">
        <v>60</v>
      </c>
      <c r="B7" s="1" t="s">
        <v>61</v>
      </c>
      <c r="C7" s="36">
        <v>0.33</v>
      </c>
    </row>
    <row r="8" spans="1:4" x14ac:dyDescent="0.2">
      <c r="A8" s="1" t="s">
        <v>62</v>
      </c>
      <c r="B8" s="1" t="s">
        <v>63</v>
      </c>
      <c r="C8" s="36">
        <v>0.5</v>
      </c>
    </row>
    <row r="10" spans="1:4" x14ac:dyDescent="0.2">
      <c r="A10" s="1" t="s">
        <v>64</v>
      </c>
      <c r="B10" s="1" t="s">
        <v>65</v>
      </c>
      <c r="C10" s="7">
        <f>C7*C8</f>
        <v>0.16500000000000001</v>
      </c>
    </row>
    <row r="13" spans="1:4" ht="16" x14ac:dyDescent="0.2">
      <c r="A13" s="20" t="s">
        <v>66</v>
      </c>
    </row>
    <row r="15" spans="1:4" x14ac:dyDescent="0.2">
      <c r="A15" s="1" t="s">
        <v>67</v>
      </c>
      <c r="B15" s="1" t="s">
        <v>128</v>
      </c>
      <c r="C15" s="26">
        <v>18</v>
      </c>
    </row>
    <row r="17" spans="1:4" x14ac:dyDescent="0.2">
      <c r="A17" s="1" t="s">
        <v>68</v>
      </c>
      <c r="C17" s="13">
        <f>'Target State'!C25</f>
        <v>12</v>
      </c>
    </row>
    <row r="18" spans="1:4" x14ac:dyDescent="0.2">
      <c r="A18" s="1" t="s">
        <v>69</v>
      </c>
      <c r="C18" s="4">
        <f>C17/C15</f>
        <v>0.66666666666666663</v>
      </c>
    </row>
    <row r="21" spans="1:4" ht="16" x14ac:dyDescent="0.2">
      <c r="A21" s="20" t="s">
        <v>70</v>
      </c>
    </row>
    <row r="22" spans="1:4" x14ac:dyDescent="0.2">
      <c r="A22" s="35"/>
    </row>
    <row r="23" spans="1:4" x14ac:dyDescent="0.2">
      <c r="A23" s="1" t="s">
        <v>71</v>
      </c>
      <c r="C23" s="4">
        <f>C18/C8</f>
        <v>1.3333333333333333</v>
      </c>
    </row>
    <row r="25" spans="1:4" ht="19" x14ac:dyDescent="0.25">
      <c r="A25" s="23" t="s">
        <v>72</v>
      </c>
      <c r="B25" s="24"/>
      <c r="C25" s="37">
        <f>C23/C7</f>
        <v>4.0404040404040398</v>
      </c>
    </row>
    <row r="27" spans="1:4" x14ac:dyDescent="0.2">
      <c r="A27" s="41" t="s">
        <v>73</v>
      </c>
      <c r="B27" s="41"/>
      <c r="C27" s="41"/>
      <c r="D27" s="41"/>
    </row>
    <row r="29" spans="1:4" x14ac:dyDescent="0.2">
      <c r="A29" s="43" t="s">
        <v>74</v>
      </c>
      <c r="B29" s="43"/>
      <c r="C29" s="43"/>
      <c r="D29" s="43"/>
    </row>
    <row r="32" spans="1:4" x14ac:dyDescent="0.2">
      <c r="A32" s="1" t="s">
        <v>136</v>
      </c>
    </row>
  </sheetData>
  <mergeCells count="3">
    <mergeCell ref="A3:D3"/>
    <mergeCell ref="A27:D27"/>
    <mergeCell ref="A29:D2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zoomScaleNormal="100" workbookViewId="0"/>
  </sheetViews>
  <sheetFormatPr baseColWidth="10" defaultColWidth="8.6640625" defaultRowHeight="15" x14ac:dyDescent="0.2"/>
  <cols>
    <col min="1" max="1" width="45" style="1" customWidth="1"/>
    <col min="2" max="2" width="22" style="1" customWidth="1"/>
    <col min="3" max="3" width="25" style="1" customWidth="1"/>
    <col min="4" max="4" width="5" style="1" customWidth="1"/>
    <col min="5" max="16384" width="8.6640625" style="1"/>
  </cols>
  <sheetData>
    <row r="1" spans="1:5" ht="21" x14ac:dyDescent="0.25">
      <c r="A1" s="19" t="s">
        <v>75</v>
      </c>
      <c r="B1" s="19"/>
      <c r="C1" s="19"/>
      <c r="D1" s="32"/>
      <c r="E1" s="32"/>
    </row>
    <row r="3" spans="1:5" x14ac:dyDescent="0.2">
      <c r="A3" s="41" t="s">
        <v>76</v>
      </c>
      <c r="B3" s="41"/>
      <c r="C3" s="41"/>
      <c r="D3" s="41"/>
      <c r="E3" s="41"/>
    </row>
    <row r="4" spans="1:5" x14ac:dyDescent="0.2">
      <c r="A4" s="45" t="s">
        <v>77</v>
      </c>
      <c r="B4" s="45"/>
      <c r="C4" s="45"/>
      <c r="D4" s="45"/>
      <c r="E4" s="45"/>
    </row>
    <row r="6" spans="1:5" ht="16" x14ac:dyDescent="0.2">
      <c r="A6" s="38" t="s">
        <v>78</v>
      </c>
      <c r="B6" s="39" t="s">
        <v>79</v>
      </c>
      <c r="C6" s="39" t="s">
        <v>80</v>
      </c>
    </row>
    <row r="7" spans="1:5" x14ac:dyDescent="0.2">
      <c r="A7" s="28" t="s">
        <v>81</v>
      </c>
      <c r="B7" s="26">
        <v>25</v>
      </c>
      <c r="C7" s="27">
        <v>50</v>
      </c>
    </row>
    <row r="8" spans="1:5" x14ac:dyDescent="0.2">
      <c r="A8" s="28" t="s">
        <v>82</v>
      </c>
      <c r="B8" s="26">
        <v>25</v>
      </c>
      <c r="C8" s="27">
        <v>800</v>
      </c>
    </row>
    <row r="9" spans="1:5" x14ac:dyDescent="0.2">
      <c r="A9" s="28" t="s">
        <v>83</v>
      </c>
      <c r="B9" s="26">
        <v>25</v>
      </c>
      <c r="C9" s="27">
        <v>300</v>
      </c>
    </row>
    <row r="10" spans="1:5" x14ac:dyDescent="0.2">
      <c r="A10" s="28" t="s">
        <v>84</v>
      </c>
      <c r="B10" s="26">
        <v>25</v>
      </c>
      <c r="C10" s="27">
        <v>100</v>
      </c>
    </row>
    <row r="11" spans="1:5" x14ac:dyDescent="0.2">
      <c r="A11" s="28" t="s">
        <v>85</v>
      </c>
      <c r="B11" s="26">
        <v>25</v>
      </c>
      <c r="C11" s="27">
        <v>2500</v>
      </c>
    </row>
    <row r="12" spans="1:5" x14ac:dyDescent="0.2">
      <c r="A12" s="28" t="s">
        <v>86</v>
      </c>
      <c r="B12" s="26">
        <v>30</v>
      </c>
      <c r="C12" s="27">
        <v>50</v>
      </c>
    </row>
    <row r="13" spans="1:5" x14ac:dyDescent="0.2">
      <c r="A13" s="28" t="s">
        <v>87</v>
      </c>
      <c r="B13" s="26">
        <v>30</v>
      </c>
      <c r="C13" s="27">
        <v>150</v>
      </c>
    </row>
    <row r="14" spans="1:5" x14ac:dyDescent="0.2">
      <c r="A14" s="28"/>
      <c r="B14" s="26"/>
      <c r="C14" s="27"/>
    </row>
    <row r="15" spans="1:5" x14ac:dyDescent="0.2">
      <c r="A15" s="28"/>
      <c r="B15" s="26"/>
      <c r="C15" s="27"/>
    </row>
    <row r="16" spans="1:5" x14ac:dyDescent="0.2">
      <c r="A16" s="28"/>
      <c r="B16" s="26"/>
      <c r="C16" s="27"/>
    </row>
    <row r="17" spans="1:3" x14ac:dyDescent="0.2">
      <c r="A17" s="28"/>
      <c r="B17" s="26"/>
      <c r="C17" s="27"/>
    </row>
    <row r="18" spans="1:3" x14ac:dyDescent="0.2">
      <c r="A18" s="28"/>
      <c r="B18" s="26"/>
      <c r="C18" s="27"/>
    </row>
    <row r="19" spans="1:3" x14ac:dyDescent="0.2">
      <c r="A19" s="28"/>
      <c r="B19" s="26"/>
      <c r="C19" s="27"/>
    </row>
    <row r="20" spans="1:3" x14ac:dyDescent="0.2">
      <c r="A20" s="28"/>
      <c r="B20" s="26"/>
      <c r="C20" s="27"/>
    </row>
    <row r="21" spans="1:3" x14ac:dyDescent="0.2">
      <c r="A21" s="28"/>
      <c r="B21" s="26"/>
      <c r="C21" s="27"/>
    </row>
    <row r="22" spans="1:3" x14ac:dyDescent="0.2">
      <c r="A22" s="28"/>
      <c r="B22" s="26"/>
      <c r="C22" s="27"/>
    </row>
    <row r="23" spans="1:3" x14ac:dyDescent="0.2">
      <c r="A23" s="28"/>
      <c r="B23" s="26"/>
      <c r="C23" s="27"/>
    </row>
    <row r="24" spans="1:3" x14ac:dyDescent="0.2">
      <c r="A24" s="28"/>
      <c r="B24" s="26"/>
      <c r="C24" s="27"/>
    </row>
    <row r="25" spans="1:3" x14ac:dyDescent="0.2">
      <c r="A25" s="28"/>
      <c r="B25" s="26"/>
      <c r="C25" s="27"/>
    </row>
    <row r="26" spans="1:3" x14ac:dyDescent="0.2">
      <c r="A26" s="28"/>
      <c r="B26" s="26"/>
      <c r="C26" s="27"/>
    </row>
    <row r="28" spans="1:3" x14ac:dyDescent="0.2">
      <c r="A28" s="11" t="s">
        <v>88</v>
      </c>
    </row>
    <row r="29" spans="1:3" x14ac:dyDescent="0.2">
      <c r="A29" s="44" t="s">
        <v>89</v>
      </c>
      <c r="B29" s="44"/>
      <c r="C29" s="44"/>
    </row>
    <row r="30" spans="1:3" x14ac:dyDescent="0.2">
      <c r="A30" s="44" t="s">
        <v>90</v>
      </c>
      <c r="B30" s="44"/>
      <c r="C30" s="44"/>
    </row>
    <row r="31" spans="1:3" x14ac:dyDescent="0.2">
      <c r="A31" s="44" t="s">
        <v>91</v>
      </c>
      <c r="B31" s="44"/>
      <c r="C31" s="44"/>
    </row>
    <row r="32" spans="1:3" x14ac:dyDescent="0.2">
      <c r="A32" s="44" t="s">
        <v>92</v>
      </c>
      <c r="B32" s="44"/>
      <c r="C32" s="44"/>
    </row>
    <row r="34" spans="1:5" x14ac:dyDescent="0.2">
      <c r="A34" s="43" t="s">
        <v>93</v>
      </c>
      <c r="B34" s="43"/>
      <c r="C34" s="43"/>
      <c r="D34" s="43"/>
      <c r="E34" s="43"/>
    </row>
    <row r="37" spans="1:5" x14ac:dyDescent="0.2">
      <c r="A37" s="1" t="s">
        <v>136</v>
      </c>
    </row>
  </sheetData>
  <mergeCells count="7">
    <mergeCell ref="A31:C31"/>
    <mergeCell ref="A32:C32"/>
    <mergeCell ref="A34:E34"/>
    <mergeCell ref="A3:E3"/>
    <mergeCell ref="A4:E4"/>
    <mergeCell ref="A29:C29"/>
    <mergeCell ref="A30:C30"/>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Normal="100" workbookViewId="0">
      <selection sqref="A1:L1"/>
    </sheetView>
  </sheetViews>
  <sheetFormatPr baseColWidth="10" defaultColWidth="8.6640625" defaultRowHeight="15" x14ac:dyDescent="0.2"/>
  <cols>
    <col min="1" max="1" width="29.1640625" style="1" customWidth="1"/>
    <col min="2" max="3" width="12" style="1" customWidth="1"/>
    <col min="4" max="4" width="10" style="1" customWidth="1"/>
    <col min="5" max="6" width="14" style="1" customWidth="1"/>
    <col min="7" max="7" width="12" style="1" customWidth="1"/>
    <col min="8" max="8" width="11" style="1" customWidth="1"/>
    <col min="9" max="9" width="30" style="1" customWidth="1"/>
    <col min="10" max="10" width="13" style="1" customWidth="1"/>
    <col min="11" max="11" width="12" style="1" customWidth="1"/>
    <col min="12" max="12" width="11" style="1" customWidth="1"/>
    <col min="13" max="16384" width="8.6640625" style="1"/>
  </cols>
  <sheetData>
    <row r="1" spans="1:12" ht="21" x14ac:dyDescent="0.25">
      <c r="A1" s="46" t="s">
        <v>94</v>
      </c>
      <c r="B1" s="46"/>
      <c r="C1" s="46"/>
      <c r="D1" s="46"/>
      <c r="E1" s="46"/>
      <c r="F1" s="46"/>
      <c r="G1" s="46"/>
      <c r="H1" s="46"/>
      <c r="I1" s="46"/>
      <c r="J1" s="46"/>
      <c r="K1" s="46"/>
      <c r="L1" s="46"/>
    </row>
    <row r="3" spans="1:12" x14ac:dyDescent="0.2">
      <c r="A3" s="41" t="s">
        <v>95</v>
      </c>
      <c r="B3" s="41"/>
      <c r="C3" s="41"/>
      <c r="D3" s="41"/>
      <c r="E3" s="41"/>
      <c r="F3" s="41"/>
      <c r="G3" s="41"/>
      <c r="H3" s="41"/>
      <c r="I3" s="41"/>
      <c r="J3" s="41"/>
      <c r="K3" s="41"/>
      <c r="L3" s="41"/>
    </row>
    <row r="4" spans="1:12" x14ac:dyDescent="0.2">
      <c r="A4" s="1" t="s">
        <v>125</v>
      </c>
    </row>
    <row r="5" spans="1:12" ht="30" x14ac:dyDescent="0.2">
      <c r="A5" s="40" t="s">
        <v>96</v>
      </c>
      <c r="B5" s="40" t="s">
        <v>97</v>
      </c>
      <c r="C5" s="40" t="s">
        <v>98</v>
      </c>
      <c r="D5" s="40" t="s">
        <v>99</v>
      </c>
      <c r="E5" s="40" t="s">
        <v>100</v>
      </c>
      <c r="F5" s="40" t="s">
        <v>101</v>
      </c>
      <c r="G5" s="40" t="s">
        <v>102</v>
      </c>
      <c r="H5" s="40" t="s">
        <v>103</v>
      </c>
      <c r="I5" s="40" t="s">
        <v>104</v>
      </c>
      <c r="J5" s="40" t="s">
        <v>105</v>
      </c>
      <c r="K5" s="40" t="s">
        <v>106</v>
      </c>
      <c r="L5" s="40" t="s">
        <v>107</v>
      </c>
    </row>
    <row r="6" spans="1:12" x14ac:dyDescent="0.2">
      <c r="A6" s="2">
        <v>0</v>
      </c>
      <c r="B6" s="3">
        <f>'Current State'!C7</f>
        <v>20</v>
      </c>
      <c r="C6" s="4">
        <v>0</v>
      </c>
      <c r="D6" s="5">
        <f>'Current State'!C8</f>
        <v>200</v>
      </c>
      <c r="E6" s="5">
        <f t="shared" ref="E6:E42" si="0">B6*D6</f>
        <v>4000</v>
      </c>
      <c r="F6" s="5">
        <f t="shared" ref="F6:F42" si="1">E6*12</f>
        <v>48000</v>
      </c>
      <c r="G6" s="4">
        <v>0</v>
      </c>
      <c r="H6" s="4">
        <v>0</v>
      </c>
      <c r="I6" s="6" t="str">
        <f>IF(AND(B6&gt;=Milestones!B26,Milestones!A26&lt;&gt;""),Milestones!A26,IF(AND(B6&gt;=Milestones!B25,Milestones!A25&lt;&gt;""),Milestones!A25,IF(AND(B6&gt;=Milestones!B24,Milestones!A24&lt;&gt;""),Milestones!A24,IF(AND(B6&gt;=Milestones!B23,Milestones!A23&lt;&gt;""),Milestones!A23,IF(AND(B6&gt;=Milestones!B22,Milestones!A22&lt;&gt;""),Milestones!A22,IF(AND(B6&gt;=Milestones!B21,Milestones!A21&lt;&gt;""),Milestones!A21,IF(AND(B6&gt;=Milestones!B20,Milestones!A20&lt;&gt;""),Milestones!A20,IF(AND(B6&gt;=Milestones!B19,Milestones!A19&lt;&gt;""),Milestones!A19,IF(AND(B6&gt;=Milestones!B18,Milestones!A18&lt;&gt;""),Milestones!A18,IF(AND(B6&gt;=Milestones!B17,Milestones!A17&lt;&gt;""),Milestones!A17,IF(AND(B6&gt;=Milestones!B16,Milestones!A16&lt;&gt;""),Milestones!A16,IF(AND(B6&gt;=Milestones!B15,Milestones!A15&lt;&gt;""),Milestones!A15,IF(AND(B6&gt;=Milestones!B14,Milestones!A14&lt;&gt;""),Milestones!A14,IF(AND(B6&gt;=Milestones!B13,Milestones!A13&lt;&gt;""),Milestones!A13,IF(AND(B6&gt;=Milestones!B12,Milestones!A12&lt;&gt;""),Milestones!A12,IF(AND(B6&gt;=Milestones!B11,Milestones!A11&lt;&gt;""),Milestones!A11,IF(AND(B6&gt;=Milestones!B10,Milestones!A10&lt;&gt;""),Milestones!A10,IF(AND(B6&gt;=Milestones!B9,Milestones!A9&lt;&gt;""),Milestones!A9,IF(AND(B6&gt;=Milestones!B8,Milestones!A8&lt;&gt;""),Milestones!A8,IF(AND(B6&gt;=Milestones!B7,Milestones!A7&lt;&gt;""),Milestones!A7,"-"))))))))))))))))))))</f>
        <v>-</v>
      </c>
      <c r="J6" s="5">
        <f>(IF(B6&gt;=Milestones!B7,Milestones!C7,0)+IF(B6&gt;=Milestones!B8,Milestones!C8,0)+IF(B6&gt;=Milestones!B9,Milestones!C9,0)+IF(B6&gt;=Milestones!B10,Milestones!C10,0)+IF(B6&gt;=Milestones!B11,Milestones!C11,0)+IF(B6&gt;=Milestones!B12,Milestones!C12,0)+IF(B6&gt;=Milestones!B13,Milestones!C13,0)+IF(B6&gt;=Milestones!B14,Milestones!C14,0)+IF(B6&gt;=Milestones!B15,Milestones!C15,0)+IF(B6&gt;=Milestones!B16,Milestones!C16,0)+IF(B6&gt;=Milestones!B17,Milestones!C17,0)+IF(B6&gt;=Milestones!B18,Milestones!C18,0)+IF(B6&gt;=Milestones!B19,Milestones!C19,0)+IF(B6&gt;=Milestones!B20,Milestones!C20,0)+IF(B6&gt;=Milestones!B21,Milestones!C21,0)+IF(B6&gt;=Milestones!B22,Milestones!C22,0)+IF(B6&gt;=Milestones!B23,Milestones!C23,0)+IF(B6&gt;=Milestones!B24,Milestones!C24,0)+IF(B6&gt;=Milestones!B25,Milestones!C25,0)+IF(B6&gt;=Milestones!B26,Milestones!C26,0))</f>
        <v>0</v>
      </c>
      <c r="K6" s="5">
        <f t="shared" ref="K6:K42" si="2">E6-J6</f>
        <v>4000</v>
      </c>
      <c r="L6" s="7">
        <f>F6/'Perfect P&amp;L'!C26</f>
        <v>0.42879999999999996</v>
      </c>
    </row>
    <row r="7" spans="1:12" x14ac:dyDescent="0.2">
      <c r="A7" s="2">
        <v>1</v>
      </c>
      <c r="B7" s="3">
        <f t="shared" ref="B7:B42" si="3">B6+C7</f>
        <v>20.666666666666668</v>
      </c>
      <c r="C7" s="4">
        <f>IF(1&lt;='Sales Funnel'!C15,'Sales Funnel'!C18,0)</f>
        <v>0.66666666666666663</v>
      </c>
      <c r="D7" s="5">
        <f>IF(1&lt;='Sales Funnel'!C15,('Current State'!C8*(1-MIN(1,'Sales Funnel'!C15)/'Sales Funnel'!C15))+('Target State'!C8*MIN(1,'Sales Funnel'!C15)/'Sales Funnel'!C15),'Target State'!C8)</f>
        <v>205.55555555555554</v>
      </c>
      <c r="E7" s="5">
        <f t="shared" si="0"/>
        <v>4248.1481481481478</v>
      </c>
      <c r="F7" s="5">
        <f t="shared" si="1"/>
        <v>50977.777777777774</v>
      </c>
      <c r="G7" s="4">
        <f>IF(1&lt;='Sales Funnel'!C15,'Sales Funnel'!C25,0)</f>
        <v>4.0404040404040398</v>
      </c>
      <c r="H7" s="4">
        <f>IF(1&lt;='Sales Funnel'!C15,'Sales Funnel'!C23,0)</f>
        <v>1.3333333333333333</v>
      </c>
      <c r="I7" s="6" t="str">
        <f>IF(AND(B7&gt;=Milestones!B26,Milestones!A26&lt;&gt;""),Milestones!A26,IF(AND(B7&gt;=Milestones!B25,Milestones!A25&lt;&gt;""),Milestones!A25,IF(AND(B7&gt;=Milestones!B24,Milestones!A24&lt;&gt;""),Milestones!A24,IF(AND(B7&gt;=Milestones!B23,Milestones!A23&lt;&gt;""),Milestones!A23,IF(AND(B7&gt;=Milestones!B22,Milestones!A22&lt;&gt;""),Milestones!A22,IF(AND(B7&gt;=Milestones!B21,Milestones!A21&lt;&gt;""),Milestones!A21,IF(AND(B7&gt;=Milestones!B20,Milestones!A20&lt;&gt;""),Milestones!A20,IF(AND(B7&gt;=Milestones!B19,Milestones!A19&lt;&gt;""),Milestones!A19,IF(AND(B7&gt;=Milestones!B18,Milestones!A18&lt;&gt;""),Milestones!A18,IF(AND(B7&gt;=Milestones!B17,Milestones!A17&lt;&gt;""),Milestones!A17,IF(AND(B7&gt;=Milestones!B16,Milestones!A16&lt;&gt;""),Milestones!A16,IF(AND(B7&gt;=Milestones!B15,Milestones!A15&lt;&gt;""),Milestones!A15,IF(AND(B7&gt;=Milestones!B14,Milestones!A14&lt;&gt;""),Milestones!A14,IF(AND(B7&gt;=Milestones!B13,Milestones!A13&lt;&gt;""),Milestones!A13,IF(AND(B7&gt;=Milestones!B12,Milestones!A12&lt;&gt;""),Milestones!A12,IF(AND(B7&gt;=Milestones!B11,Milestones!A11&lt;&gt;""),Milestones!A11,IF(AND(B7&gt;=Milestones!B10,Milestones!A10&lt;&gt;""),Milestones!A10,IF(AND(B7&gt;=Milestones!B9,Milestones!A9&lt;&gt;""),Milestones!A9,IF(AND(B7&gt;=Milestones!B8,Milestones!A8&lt;&gt;""),Milestones!A8,IF(AND(B7&gt;=Milestones!B7,Milestones!A7&lt;&gt;""),Milestones!A7,"-"))))))))))))))))))))</f>
        <v>-</v>
      </c>
      <c r="J7" s="5">
        <f>(IF(B7&gt;=Milestones!B7,Milestones!C7,0)+IF(B7&gt;=Milestones!B8,Milestones!C8,0)+IF(B7&gt;=Milestones!B9,Milestones!C9,0)+IF(B7&gt;=Milestones!B10,Milestones!C10,0)+IF(B7&gt;=Milestones!B11,Milestones!C11,0)+IF(B7&gt;=Milestones!B12,Milestones!C12,0)+IF(B7&gt;=Milestones!B13,Milestones!C13,0)+IF(B7&gt;=Milestones!B14,Milestones!C14,0)+IF(B7&gt;=Milestones!B15,Milestones!C15,0)+IF(B7&gt;=Milestones!B16,Milestones!C16,0)+IF(B7&gt;=Milestones!B17,Milestones!C17,0)+IF(B7&gt;=Milestones!B18,Milestones!C18,0)+IF(B7&gt;=Milestones!B19,Milestones!C19,0)+IF(B7&gt;=Milestones!B20,Milestones!C20,0)+IF(B7&gt;=Milestones!B21,Milestones!C21,0)+IF(B7&gt;=Milestones!B22,Milestones!C22,0)+IF(B7&gt;=Milestones!B23,Milestones!C23,0)+IF(B7&gt;=Milestones!B24,Milestones!C24,0)+IF(B7&gt;=Milestones!B25,Milestones!C25,0)+IF(B7&gt;=Milestones!B26,Milestones!C26,0))</f>
        <v>0</v>
      </c>
      <c r="K7" s="5">
        <f t="shared" si="2"/>
        <v>4248.1481481481478</v>
      </c>
      <c r="L7" s="7">
        <f>F7/'Perfect P&amp;L'!C26</f>
        <v>0.45540148148148141</v>
      </c>
    </row>
    <row r="8" spans="1:12" x14ac:dyDescent="0.2">
      <c r="A8" s="2">
        <v>2</v>
      </c>
      <c r="B8" s="3">
        <f t="shared" si="3"/>
        <v>21.333333333333336</v>
      </c>
      <c r="C8" s="4">
        <f>IF(2&lt;='Sales Funnel'!C15,'Sales Funnel'!C18,0)</f>
        <v>0.66666666666666663</v>
      </c>
      <c r="D8" s="5">
        <f>IF(2&lt;='Sales Funnel'!C15,('Current State'!C8*(1-MIN(2,'Sales Funnel'!C15)/'Sales Funnel'!C15))+('Target State'!C8*MIN(2,'Sales Funnel'!C15)/'Sales Funnel'!C15),'Target State'!C8)</f>
        <v>211.11111111111111</v>
      </c>
      <c r="E8" s="5">
        <f t="shared" si="0"/>
        <v>4503.7037037037044</v>
      </c>
      <c r="F8" s="5">
        <f t="shared" si="1"/>
        <v>54044.444444444453</v>
      </c>
      <c r="G8" s="4">
        <f>IF(2&lt;='Sales Funnel'!C15,'Sales Funnel'!C25,0)</f>
        <v>4.0404040404040398</v>
      </c>
      <c r="H8" s="4">
        <f>IF(2&lt;='Sales Funnel'!C15,'Sales Funnel'!C23,0)</f>
        <v>1.3333333333333333</v>
      </c>
      <c r="I8" s="6" t="str">
        <f>IF(AND(B8&gt;=Milestones!B26,Milestones!A26&lt;&gt;""),Milestones!A26,IF(AND(B8&gt;=Milestones!B25,Milestones!A25&lt;&gt;""),Milestones!A25,IF(AND(B8&gt;=Milestones!B24,Milestones!A24&lt;&gt;""),Milestones!A24,IF(AND(B8&gt;=Milestones!B23,Milestones!A23&lt;&gt;""),Milestones!A23,IF(AND(B8&gt;=Milestones!B22,Milestones!A22&lt;&gt;""),Milestones!A22,IF(AND(B8&gt;=Milestones!B21,Milestones!A21&lt;&gt;""),Milestones!A21,IF(AND(B8&gt;=Milestones!B20,Milestones!A20&lt;&gt;""),Milestones!A20,IF(AND(B8&gt;=Milestones!B19,Milestones!A19&lt;&gt;""),Milestones!A19,IF(AND(B8&gt;=Milestones!B18,Milestones!A18&lt;&gt;""),Milestones!A18,IF(AND(B8&gt;=Milestones!B17,Milestones!A17&lt;&gt;""),Milestones!A17,IF(AND(B8&gt;=Milestones!B16,Milestones!A16&lt;&gt;""),Milestones!A16,IF(AND(B8&gt;=Milestones!B15,Milestones!A15&lt;&gt;""),Milestones!A15,IF(AND(B8&gt;=Milestones!B14,Milestones!A14&lt;&gt;""),Milestones!A14,IF(AND(B8&gt;=Milestones!B13,Milestones!A13&lt;&gt;""),Milestones!A13,IF(AND(B8&gt;=Milestones!B12,Milestones!A12&lt;&gt;""),Milestones!A12,IF(AND(B8&gt;=Milestones!B11,Milestones!A11&lt;&gt;""),Milestones!A11,IF(AND(B8&gt;=Milestones!B10,Milestones!A10&lt;&gt;""),Milestones!A10,IF(AND(B8&gt;=Milestones!B9,Milestones!A9&lt;&gt;""),Milestones!A9,IF(AND(B8&gt;=Milestones!B8,Milestones!A8&lt;&gt;""),Milestones!A8,IF(AND(B8&gt;=Milestones!B7,Milestones!A7&lt;&gt;""),Milestones!A7,"-"))))))))))))))))))))</f>
        <v>-</v>
      </c>
      <c r="J8" s="5">
        <f>(IF(B8&gt;=Milestones!B7,Milestones!C7,0)+IF(B8&gt;=Milestones!B8,Milestones!C8,0)+IF(B8&gt;=Milestones!B9,Milestones!C9,0)+IF(B8&gt;=Milestones!B10,Milestones!C10,0)+IF(B8&gt;=Milestones!B11,Milestones!C11,0)+IF(B8&gt;=Milestones!B12,Milestones!C12,0)+IF(B8&gt;=Milestones!B13,Milestones!C13,0)+IF(B8&gt;=Milestones!B14,Milestones!C14,0)+IF(B8&gt;=Milestones!B15,Milestones!C15,0)+IF(B8&gt;=Milestones!B16,Milestones!C16,0)+IF(B8&gt;=Milestones!B17,Milestones!C17,0)+IF(B8&gt;=Milestones!B18,Milestones!C18,0)+IF(B8&gt;=Milestones!B19,Milestones!C19,0)+IF(B8&gt;=Milestones!B20,Milestones!C20,0)+IF(B8&gt;=Milestones!B21,Milestones!C21,0)+IF(B8&gt;=Milestones!B22,Milestones!C22,0)+IF(B8&gt;=Milestones!B23,Milestones!C23,0)+IF(B8&gt;=Milestones!B24,Milestones!C24,0)+IF(B8&gt;=Milestones!B25,Milestones!C25,0)+IF(B8&gt;=Milestones!B26,Milestones!C26,0))</f>
        <v>0</v>
      </c>
      <c r="K8" s="5">
        <f t="shared" si="2"/>
        <v>4503.7037037037044</v>
      </c>
      <c r="L8" s="7">
        <f>F8/'Perfect P&amp;L'!C26</f>
        <v>0.48279703703703708</v>
      </c>
    </row>
    <row r="9" spans="1:12" x14ac:dyDescent="0.2">
      <c r="A9" s="2">
        <v>3</v>
      </c>
      <c r="B9" s="3">
        <f t="shared" si="3"/>
        <v>22.000000000000004</v>
      </c>
      <c r="C9" s="4">
        <f>IF(3&lt;='Sales Funnel'!C15,'Sales Funnel'!C18,0)</f>
        <v>0.66666666666666663</v>
      </c>
      <c r="D9" s="5">
        <f>IF(3&lt;='Sales Funnel'!C15,('Current State'!C8*(1-MIN(3,'Sales Funnel'!C15)/'Sales Funnel'!C15))+('Target State'!C8*MIN(3,'Sales Funnel'!C15)/'Sales Funnel'!C15),'Target State'!C8)</f>
        <v>216.66666666666669</v>
      </c>
      <c r="E9" s="5">
        <f t="shared" si="0"/>
        <v>4766.6666666666679</v>
      </c>
      <c r="F9" s="5">
        <f t="shared" si="1"/>
        <v>57200.000000000015</v>
      </c>
      <c r="G9" s="4">
        <f>IF(3&lt;='Sales Funnel'!C15,'Sales Funnel'!C25,0)</f>
        <v>4.0404040404040398</v>
      </c>
      <c r="H9" s="4">
        <f>IF(3&lt;='Sales Funnel'!C15,'Sales Funnel'!C23,0)</f>
        <v>1.3333333333333333</v>
      </c>
      <c r="I9" s="6" t="str">
        <f>IF(AND(B9&gt;=Milestones!B26,Milestones!A26&lt;&gt;""),Milestones!A26,IF(AND(B9&gt;=Milestones!B25,Milestones!A25&lt;&gt;""),Milestones!A25,IF(AND(B9&gt;=Milestones!B24,Milestones!A24&lt;&gt;""),Milestones!A24,IF(AND(B9&gt;=Milestones!B23,Milestones!A23&lt;&gt;""),Milestones!A23,IF(AND(B9&gt;=Milestones!B22,Milestones!A22&lt;&gt;""),Milestones!A22,IF(AND(B9&gt;=Milestones!B21,Milestones!A21&lt;&gt;""),Milestones!A21,IF(AND(B9&gt;=Milestones!B20,Milestones!A20&lt;&gt;""),Milestones!A20,IF(AND(B9&gt;=Milestones!B19,Milestones!A19&lt;&gt;""),Milestones!A19,IF(AND(B9&gt;=Milestones!B18,Milestones!A18&lt;&gt;""),Milestones!A18,IF(AND(B9&gt;=Milestones!B17,Milestones!A17&lt;&gt;""),Milestones!A17,IF(AND(B9&gt;=Milestones!B16,Milestones!A16&lt;&gt;""),Milestones!A16,IF(AND(B9&gt;=Milestones!B15,Milestones!A15&lt;&gt;""),Milestones!A15,IF(AND(B9&gt;=Milestones!B14,Milestones!A14&lt;&gt;""),Milestones!A14,IF(AND(B9&gt;=Milestones!B13,Milestones!A13&lt;&gt;""),Milestones!A13,IF(AND(B9&gt;=Milestones!B12,Milestones!A12&lt;&gt;""),Milestones!A12,IF(AND(B9&gt;=Milestones!B11,Milestones!A11&lt;&gt;""),Milestones!A11,IF(AND(B9&gt;=Milestones!B10,Milestones!A10&lt;&gt;""),Milestones!A10,IF(AND(B9&gt;=Milestones!B9,Milestones!A9&lt;&gt;""),Milestones!A9,IF(AND(B9&gt;=Milestones!B8,Milestones!A8&lt;&gt;""),Milestones!A8,IF(AND(B9&gt;=Milestones!B7,Milestones!A7&lt;&gt;""),Milestones!A7,"-"))))))))))))))))))))</f>
        <v>-</v>
      </c>
      <c r="J9" s="5">
        <f>(IF(B9&gt;=Milestones!B7,Milestones!C7,0)+IF(B9&gt;=Milestones!B8,Milestones!C8,0)+IF(B9&gt;=Milestones!B9,Milestones!C9,0)+IF(B9&gt;=Milestones!B10,Milestones!C10,0)+IF(B9&gt;=Milestones!B11,Milestones!C11,0)+IF(B9&gt;=Milestones!B12,Milestones!C12,0)+IF(B9&gt;=Milestones!B13,Milestones!C13,0)+IF(B9&gt;=Milestones!B14,Milestones!C14,0)+IF(B9&gt;=Milestones!B15,Milestones!C15,0)+IF(B9&gt;=Milestones!B16,Milestones!C16,0)+IF(B9&gt;=Milestones!B17,Milestones!C17,0)+IF(B9&gt;=Milestones!B18,Milestones!C18,0)+IF(B9&gt;=Milestones!B19,Milestones!C19,0)+IF(B9&gt;=Milestones!B20,Milestones!C20,0)+IF(B9&gt;=Milestones!B21,Milestones!C21,0)+IF(B9&gt;=Milestones!B22,Milestones!C22,0)+IF(B9&gt;=Milestones!B23,Milestones!C23,0)+IF(B9&gt;=Milestones!B24,Milestones!C24,0)+IF(B9&gt;=Milestones!B25,Milestones!C25,0)+IF(B9&gt;=Milestones!B26,Milestones!C26,0))</f>
        <v>0</v>
      </c>
      <c r="K9" s="5">
        <f t="shared" si="2"/>
        <v>4766.6666666666679</v>
      </c>
      <c r="L9" s="7">
        <f>F9/'Perfect P&amp;L'!C26</f>
        <v>0.51098666666666681</v>
      </c>
    </row>
    <row r="10" spans="1:12" x14ac:dyDescent="0.2">
      <c r="A10" s="2">
        <v>4</v>
      </c>
      <c r="B10" s="3">
        <f t="shared" si="3"/>
        <v>22.666666666666671</v>
      </c>
      <c r="C10" s="4">
        <f>IF(4&lt;='Sales Funnel'!C15,'Sales Funnel'!C18,0)</f>
        <v>0.66666666666666663</v>
      </c>
      <c r="D10" s="5">
        <f>IF(4&lt;='Sales Funnel'!C15,('Current State'!C8*(1-MIN(4,'Sales Funnel'!C15)/'Sales Funnel'!C15))+('Target State'!C8*MIN(4,'Sales Funnel'!C15)/'Sales Funnel'!C15),'Target State'!C8)</f>
        <v>222.22222222222223</v>
      </c>
      <c r="E10" s="5">
        <f t="shared" si="0"/>
        <v>5037.0370370370383</v>
      </c>
      <c r="F10" s="5">
        <f t="shared" si="1"/>
        <v>60444.44444444446</v>
      </c>
      <c r="G10" s="4">
        <f>IF(4&lt;='Sales Funnel'!C15,'Sales Funnel'!C25,0)</f>
        <v>4.0404040404040398</v>
      </c>
      <c r="H10" s="4">
        <f>IF(4&lt;='Sales Funnel'!C15,'Sales Funnel'!C23,0)</f>
        <v>1.3333333333333333</v>
      </c>
      <c r="I10" s="6" t="str">
        <f>IF(AND(B10&gt;=Milestones!B26,Milestones!A26&lt;&gt;""),Milestones!A26,IF(AND(B10&gt;=Milestones!B25,Milestones!A25&lt;&gt;""),Milestones!A25,IF(AND(B10&gt;=Milestones!B24,Milestones!A24&lt;&gt;""),Milestones!A24,IF(AND(B10&gt;=Milestones!B23,Milestones!A23&lt;&gt;""),Milestones!A23,IF(AND(B10&gt;=Milestones!B22,Milestones!A22&lt;&gt;""),Milestones!A22,IF(AND(B10&gt;=Milestones!B21,Milestones!A21&lt;&gt;""),Milestones!A21,IF(AND(B10&gt;=Milestones!B20,Milestones!A20&lt;&gt;""),Milestones!A20,IF(AND(B10&gt;=Milestones!B19,Milestones!A19&lt;&gt;""),Milestones!A19,IF(AND(B10&gt;=Milestones!B18,Milestones!A18&lt;&gt;""),Milestones!A18,IF(AND(B10&gt;=Milestones!B17,Milestones!A17&lt;&gt;""),Milestones!A17,IF(AND(B10&gt;=Milestones!B16,Milestones!A16&lt;&gt;""),Milestones!A16,IF(AND(B10&gt;=Milestones!B15,Milestones!A15&lt;&gt;""),Milestones!A15,IF(AND(B10&gt;=Milestones!B14,Milestones!A14&lt;&gt;""),Milestones!A14,IF(AND(B10&gt;=Milestones!B13,Milestones!A13&lt;&gt;""),Milestones!A13,IF(AND(B10&gt;=Milestones!B12,Milestones!A12&lt;&gt;""),Milestones!A12,IF(AND(B10&gt;=Milestones!B11,Milestones!A11&lt;&gt;""),Milestones!A11,IF(AND(B10&gt;=Milestones!B10,Milestones!A10&lt;&gt;""),Milestones!A10,IF(AND(B10&gt;=Milestones!B9,Milestones!A9&lt;&gt;""),Milestones!A9,IF(AND(B10&gt;=Milestones!B8,Milestones!A8&lt;&gt;""),Milestones!A8,IF(AND(B10&gt;=Milestones!B7,Milestones!A7&lt;&gt;""),Milestones!A7,"-"))))))))))))))))))))</f>
        <v>-</v>
      </c>
      <c r="J10" s="5">
        <f>(IF(B10&gt;=Milestones!B7,Milestones!C7,0)+IF(B10&gt;=Milestones!B8,Milestones!C8,0)+IF(B10&gt;=Milestones!B9,Milestones!C9,0)+IF(B10&gt;=Milestones!B10,Milestones!C10,0)+IF(B10&gt;=Milestones!B11,Milestones!C11,0)+IF(B10&gt;=Milestones!B12,Milestones!C12,0)+IF(B10&gt;=Milestones!B13,Milestones!C13,0)+IF(B10&gt;=Milestones!B14,Milestones!C14,0)+IF(B10&gt;=Milestones!B15,Milestones!C15,0)+IF(B10&gt;=Milestones!B16,Milestones!C16,0)+IF(B10&gt;=Milestones!B17,Milestones!C17,0)+IF(B10&gt;=Milestones!B18,Milestones!C18,0)+IF(B10&gt;=Milestones!B19,Milestones!C19,0)+IF(B10&gt;=Milestones!B20,Milestones!C20,0)+IF(B10&gt;=Milestones!B21,Milestones!C21,0)+IF(B10&gt;=Milestones!B22,Milestones!C22,0)+IF(B10&gt;=Milestones!B23,Milestones!C23,0)+IF(B10&gt;=Milestones!B24,Milestones!C24,0)+IF(B10&gt;=Milestones!B25,Milestones!C25,0)+IF(B10&gt;=Milestones!B26,Milestones!C26,0))</f>
        <v>0</v>
      </c>
      <c r="K10" s="5">
        <f t="shared" si="2"/>
        <v>5037.0370370370383</v>
      </c>
      <c r="L10" s="7">
        <f>F10/'Perfect P&amp;L'!C26</f>
        <v>0.53997037037037043</v>
      </c>
    </row>
    <row r="11" spans="1:12" x14ac:dyDescent="0.2">
      <c r="A11" s="2">
        <v>5</v>
      </c>
      <c r="B11" s="3">
        <f t="shared" si="3"/>
        <v>23.333333333333339</v>
      </c>
      <c r="C11" s="4">
        <f>IF(5&lt;='Sales Funnel'!C15,'Sales Funnel'!C18,0)</f>
        <v>0.66666666666666663</v>
      </c>
      <c r="D11" s="5">
        <f>IF(5&lt;='Sales Funnel'!C15,('Current State'!C8*(1-MIN(5,'Sales Funnel'!C15)/'Sales Funnel'!C15))+('Target State'!C8*MIN(5,'Sales Funnel'!C15)/'Sales Funnel'!C15),'Target State'!C8)</f>
        <v>227.77777777777777</v>
      </c>
      <c r="E11" s="5">
        <f t="shared" si="0"/>
        <v>5314.8148148148157</v>
      </c>
      <c r="F11" s="5">
        <f t="shared" si="1"/>
        <v>63777.777777777788</v>
      </c>
      <c r="G11" s="4">
        <f>IF(5&lt;='Sales Funnel'!C15,'Sales Funnel'!C25,0)</f>
        <v>4.0404040404040398</v>
      </c>
      <c r="H11" s="4">
        <f>IF(5&lt;='Sales Funnel'!C15,'Sales Funnel'!C23,0)</f>
        <v>1.3333333333333333</v>
      </c>
      <c r="I11" s="6" t="str">
        <f>IF(AND(B11&gt;=Milestones!B26,Milestones!A26&lt;&gt;""),Milestones!A26,IF(AND(B11&gt;=Milestones!B25,Milestones!A25&lt;&gt;""),Milestones!A25,IF(AND(B11&gt;=Milestones!B24,Milestones!A24&lt;&gt;""),Milestones!A24,IF(AND(B11&gt;=Milestones!B23,Milestones!A23&lt;&gt;""),Milestones!A23,IF(AND(B11&gt;=Milestones!B22,Milestones!A22&lt;&gt;""),Milestones!A22,IF(AND(B11&gt;=Milestones!B21,Milestones!A21&lt;&gt;""),Milestones!A21,IF(AND(B11&gt;=Milestones!B20,Milestones!A20&lt;&gt;""),Milestones!A20,IF(AND(B11&gt;=Milestones!B19,Milestones!A19&lt;&gt;""),Milestones!A19,IF(AND(B11&gt;=Milestones!B18,Milestones!A18&lt;&gt;""),Milestones!A18,IF(AND(B11&gt;=Milestones!B17,Milestones!A17&lt;&gt;""),Milestones!A17,IF(AND(B11&gt;=Milestones!B16,Milestones!A16&lt;&gt;""),Milestones!A16,IF(AND(B11&gt;=Milestones!B15,Milestones!A15&lt;&gt;""),Milestones!A15,IF(AND(B11&gt;=Milestones!B14,Milestones!A14&lt;&gt;""),Milestones!A14,IF(AND(B11&gt;=Milestones!B13,Milestones!A13&lt;&gt;""),Milestones!A13,IF(AND(B11&gt;=Milestones!B12,Milestones!A12&lt;&gt;""),Milestones!A12,IF(AND(B11&gt;=Milestones!B11,Milestones!A11&lt;&gt;""),Milestones!A11,IF(AND(B11&gt;=Milestones!B10,Milestones!A10&lt;&gt;""),Milestones!A10,IF(AND(B11&gt;=Milestones!B9,Milestones!A9&lt;&gt;""),Milestones!A9,IF(AND(B11&gt;=Milestones!B8,Milestones!A8&lt;&gt;""),Milestones!A8,IF(AND(B11&gt;=Milestones!B7,Milestones!A7&lt;&gt;""),Milestones!A7,"-"))))))))))))))))))))</f>
        <v>-</v>
      </c>
      <c r="J11" s="5">
        <f>(IF(B11&gt;=Milestones!B7,Milestones!C7,0)+IF(B11&gt;=Milestones!B8,Milestones!C8,0)+IF(B11&gt;=Milestones!B9,Milestones!C9,0)+IF(B11&gt;=Milestones!B10,Milestones!C10,0)+IF(B11&gt;=Milestones!B11,Milestones!C11,0)+IF(B11&gt;=Milestones!B12,Milestones!C12,0)+IF(B11&gt;=Milestones!B13,Milestones!C13,0)+IF(B11&gt;=Milestones!B14,Milestones!C14,0)+IF(B11&gt;=Milestones!B15,Milestones!C15,0)+IF(B11&gt;=Milestones!B16,Milestones!C16,0)+IF(B11&gt;=Milestones!B17,Milestones!C17,0)+IF(B11&gt;=Milestones!B18,Milestones!C18,0)+IF(B11&gt;=Milestones!B19,Milestones!C19,0)+IF(B11&gt;=Milestones!B20,Milestones!C20,0)+IF(B11&gt;=Milestones!B21,Milestones!C21,0)+IF(B11&gt;=Milestones!B22,Milestones!C22,0)+IF(B11&gt;=Milestones!B23,Milestones!C23,0)+IF(B11&gt;=Milestones!B24,Milestones!C24,0)+IF(B11&gt;=Milestones!B25,Milestones!C25,0)+IF(B11&gt;=Milestones!B26,Milestones!C26,0))</f>
        <v>0</v>
      </c>
      <c r="K11" s="5">
        <f t="shared" si="2"/>
        <v>5314.8148148148157</v>
      </c>
      <c r="L11" s="7">
        <f>F11/'Perfect P&amp;L'!C26</f>
        <v>0.56974814814814823</v>
      </c>
    </row>
    <row r="12" spans="1:12" x14ac:dyDescent="0.2">
      <c r="A12" s="2">
        <v>6</v>
      </c>
      <c r="B12" s="3">
        <f t="shared" si="3"/>
        <v>24.000000000000007</v>
      </c>
      <c r="C12" s="4">
        <f>IF(6&lt;='Sales Funnel'!C15,'Sales Funnel'!C18,0)</f>
        <v>0.66666666666666663</v>
      </c>
      <c r="D12" s="5">
        <f>IF(6&lt;='Sales Funnel'!C15,('Current State'!C8*(1-MIN(6,'Sales Funnel'!C15)/'Sales Funnel'!C15))+('Target State'!C8*MIN(6,'Sales Funnel'!C15)/'Sales Funnel'!C15),'Target State'!C8)</f>
        <v>233.33333333333334</v>
      </c>
      <c r="E12" s="5">
        <f t="shared" si="0"/>
        <v>5600.0000000000018</v>
      </c>
      <c r="F12" s="5">
        <f t="shared" si="1"/>
        <v>67200.000000000029</v>
      </c>
      <c r="G12" s="4">
        <f>IF(6&lt;='Sales Funnel'!C15,'Sales Funnel'!C25,0)</f>
        <v>4.0404040404040398</v>
      </c>
      <c r="H12" s="4">
        <f>IF(6&lt;='Sales Funnel'!C15,'Sales Funnel'!C23,0)</f>
        <v>1.3333333333333333</v>
      </c>
      <c r="I12" s="6" t="str">
        <f>IF(AND(B12&gt;=Milestones!B26,Milestones!A26&lt;&gt;""),Milestones!A26,IF(AND(B12&gt;=Milestones!B25,Milestones!A25&lt;&gt;""),Milestones!A25,IF(AND(B12&gt;=Milestones!B24,Milestones!A24&lt;&gt;""),Milestones!A24,IF(AND(B12&gt;=Milestones!B23,Milestones!A23&lt;&gt;""),Milestones!A23,IF(AND(B12&gt;=Milestones!B22,Milestones!A22&lt;&gt;""),Milestones!A22,IF(AND(B12&gt;=Milestones!B21,Milestones!A21&lt;&gt;""),Milestones!A21,IF(AND(B12&gt;=Milestones!B20,Milestones!A20&lt;&gt;""),Milestones!A20,IF(AND(B12&gt;=Milestones!B19,Milestones!A19&lt;&gt;""),Milestones!A19,IF(AND(B12&gt;=Milestones!B18,Milestones!A18&lt;&gt;""),Milestones!A18,IF(AND(B12&gt;=Milestones!B17,Milestones!A17&lt;&gt;""),Milestones!A17,IF(AND(B12&gt;=Milestones!B16,Milestones!A16&lt;&gt;""),Milestones!A16,IF(AND(B12&gt;=Milestones!B15,Milestones!A15&lt;&gt;""),Milestones!A15,IF(AND(B12&gt;=Milestones!B14,Milestones!A14&lt;&gt;""),Milestones!A14,IF(AND(B12&gt;=Milestones!B13,Milestones!A13&lt;&gt;""),Milestones!A13,IF(AND(B12&gt;=Milestones!B12,Milestones!A12&lt;&gt;""),Milestones!A12,IF(AND(B12&gt;=Milestones!B11,Milestones!A11&lt;&gt;""),Milestones!A11,IF(AND(B12&gt;=Milestones!B10,Milestones!A10&lt;&gt;""),Milestones!A10,IF(AND(B12&gt;=Milestones!B9,Milestones!A9&lt;&gt;""),Milestones!A9,IF(AND(B12&gt;=Milestones!B8,Milestones!A8&lt;&gt;""),Milestones!A8,IF(AND(B12&gt;=Milestones!B7,Milestones!A7&lt;&gt;""),Milestones!A7,"-"))))))))))))))))))))</f>
        <v>-</v>
      </c>
      <c r="J12" s="5">
        <f>(IF(B12&gt;=Milestones!B7,Milestones!C7,0)+IF(B12&gt;=Milestones!B8,Milestones!C8,0)+IF(B12&gt;=Milestones!B9,Milestones!C9,0)+IF(B12&gt;=Milestones!B10,Milestones!C10,0)+IF(B12&gt;=Milestones!B11,Milestones!C11,0)+IF(B12&gt;=Milestones!B12,Milestones!C12,0)+IF(B12&gt;=Milestones!B13,Milestones!C13,0)+IF(B12&gt;=Milestones!B14,Milestones!C14,0)+IF(B12&gt;=Milestones!B15,Milestones!C15,0)+IF(B12&gt;=Milestones!B16,Milestones!C16,0)+IF(B12&gt;=Milestones!B17,Milestones!C17,0)+IF(B12&gt;=Milestones!B18,Milestones!C18,0)+IF(B12&gt;=Milestones!B19,Milestones!C19,0)+IF(B12&gt;=Milestones!B20,Milestones!C20,0)+IF(B12&gt;=Milestones!B21,Milestones!C21,0)+IF(B12&gt;=Milestones!B22,Milestones!C22,0)+IF(B12&gt;=Milestones!B23,Milestones!C23,0)+IF(B12&gt;=Milestones!B24,Milestones!C24,0)+IF(B12&gt;=Milestones!B25,Milestones!C25,0)+IF(B12&gt;=Milestones!B26,Milestones!C26,0))</f>
        <v>0</v>
      </c>
      <c r="K12" s="5">
        <f t="shared" si="2"/>
        <v>5600.0000000000018</v>
      </c>
      <c r="L12" s="7">
        <f>F12/'Perfect P&amp;L'!C26</f>
        <v>0.60032000000000019</v>
      </c>
    </row>
    <row r="13" spans="1:12" x14ac:dyDescent="0.2">
      <c r="A13" s="2">
        <v>7</v>
      </c>
      <c r="B13" s="3">
        <f t="shared" si="3"/>
        <v>24.666666666666675</v>
      </c>
      <c r="C13" s="4">
        <f>IF(7&lt;='Sales Funnel'!C15,'Sales Funnel'!C18,0)</f>
        <v>0.66666666666666663</v>
      </c>
      <c r="D13" s="5">
        <f>IF(7&lt;='Sales Funnel'!C15,('Current State'!C8*(1-MIN(7,'Sales Funnel'!C15)/'Sales Funnel'!C15))+('Target State'!C8*MIN(7,'Sales Funnel'!C15)/'Sales Funnel'!C15),'Target State'!C8)</f>
        <v>238.88888888888891</v>
      </c>
      <c r="E13" s="5">
        <f t="shared" si="0"/>
        <v>5892.5925925925949</v>
      </c>
      <c r="F13" s="5">
        <f t="shared" si="1"/>
        <v>70711.111111111139</v>
      </c>
      <c r="G13" s="4">
        <f>IF(7&lt;='Sales Funnel'!C15,'Sales Funnel'!C25,0)</f>
        <v>4.0404040404040398</v>
      </c>
      <c r="H13" s="4">
        <f>IF(7&lt;='Sales Funnel'!C15,'Sales Funnel'!C23,0)</f>
        <v>1.3333333333333333</v>
      </c>
      <c r="I13" s="6" t="str">
        <f>IF(AND(B13&gt;=Milestones!B26,Milestones!A26&lt;&gt;""),Milestones!A26,IF(AND(B13&gt;=Milestones!B25,Milestones!A25&lt;&gt;""),Milestones!A25,IF(AND(B13&gt;=Milestones!B24,Milestones!A24&lt;&gt;""),Milestones!A24,IF(AND(B13&gt;=Milestones!B23,Milestones!A23&lt;&gt;""),Milestones!A23,IF(AND(B13&gt;=Milestones!B22,Milestones!A22&lt;&gt;""),Milestones!A22,IF(AND(B13&gt;=Milestones!B21,Milestones!A21&lt;&gt;""),Milestones!A21,IF(AND(B13&gt;=Milestones!B20,Milestones!A20&lt;&gt;""),Milestones!A20,IF(AND(B13&gt;=Milestones!B19,Milestones!A19&lt;&gt;""),Milestones!A19,IF(AND(B13&gt;=Milestones!B18,Milestones!A18&lt;&gt;""),Milestones!A18,IF(AND(B13&gt;=Milestones!B17,Milestones!A17&lt;&gt;""),Milestones!A17,IF(AND(B13&gt;=Milestones!B16,Milestones!A16&lt;&gt;""),Milestones!A16,IF(AND(B13&gt;=Milestones!B15,Milestones!A15&lt;&gt;""),Milestones!A15,IF(AND(B13&gt;=Milestones!B14,Milestones!A14&lt;&gt;""),Milestones!A14,IF(AND(B13&gt;=Milestones!B13,Milestones!A13&lt;&gt;""),Milestones!A13,IF(AND(B13&gt;=Milestones!B12,Milestones!A12&lt;&gt;""),Milestones!A12,IF(AND(B13&gt;=Milestones!B11,Milestones!A11&lt;&gt;""),Milestones!A11,IF(AND(B13&gt;=Milestones!B10,Milestones!A10&lt;&gt;""),Milestones!A10,IF(AND(B13&gt;=Milestones!B9,Milestones!A9&lt;&gt;""),Milestones!A9,IF(AND(B13&gt;=Milestones!B8,Milestones!A8&lt;&gt;""),Milestones!A8,IF(AND(B13&gt;=Milestones!B7,Milestones!A7&lt;&gt;""),Milestones!A7,"-"))))))))))))))))))))</f>
        <v>-</v>
      </c>
      <c r="J13" s="5">
        <f>(IF(B13&gt;=Milestones!B7,Milestones!C7,0)+IF(B13&gt;=Milestones!B8,Milestones!C8,0)+IF(B13&gt;=Milestones!B9,Milestones!C9,0)+IF(B13&gt;=Milestones!B10,Milestones!C10,0)+IF(B13&gt;=Milestones!B11,Milestones!C11,0)+IF(B13&gt;=Milestones!B12,Milestones!C12,0)+IF(B13&gt;=Milestones!B13,Milestones!C13,0)+IF(B13&gt;=Milestones!B14,Milestones!C14,0)+IF(B13&gt;=Milestones!B15,Milestones!C15,0)+IF(B13&gt;=Milestones!B16,Milestones!C16,0)+IF(B13&gt;=Milestones!B17,Milestones!C17,0)+IF(B13&gt;=Milestones!B18,Milestones!C18,0)+IF(B13&gt;=Milestones!B19,Milestones!C19,0)+IF(B13&gt;=Milestones!B20,Milestones!C20,0)+IF(B13&gt;=Milestones!B21,Milestones!C21,0)+IF(B13&gt;=Milestones!B22,Milestones!C22,0)+IF(B13&gt;=Milestones!B23,Milestones!C23,0)+IF(B13&gt;=Milestones!B24,Milestones!C24,0)+IF(B13&gt;=Milestones!B25,Milestones!C25,0)+IF(B13&gt;=Milestones!B26,Milestones!C26,0))</f>
        <v>0</v>
      </c>
      <c r="K13" s="5">
        <f t="shared" si="2"/>
        <v>5892.5925925925949</v>
      </c>
      <c r="L13" s="7">
        <f>F13/'Perfect P&amp;L'!C26</f>
        <v>0.6316859259259261</v>
      </c>
    </row>
    <row r="14" spans="1:12" x14ac:dyDescent="0.2">
      <c r="A14" s="2">
        <v>8</v>
      </c>
      <c r="B14" s="3">
        <f t="shared" si="3"/>
        <v>25.333333333333343</v>
      </c>
      <c r="C14" s="4">
        <f>IF(8&lt;='Sales Funnel'!C15,'Sales Funnel'!C18,0)</f>
        <v>0.66666666666666663</v>
      </c>
      <c r="D14" s="5">
        <f>IF(8&lt;='Sales Funnel'!C15,('Current State'!C8*(1-MIN(8,'Sales Funnel'!C15)/'Sales Funnel'!C15))+('Target State'!C8*MIN(8,'Sales Funnel'!C15)/'Sales Funnel'!C15),'Target State'!C8)</f>
        <v>244.44444444444446</v>
      </c>
      <c r="E14" s="5">
        <f t="shared" si="0"/>
        <v>6192.5925925925949</v>
      </c>
      <c r="F14" s="5">
        <f t="shared" si="1"/>
        <v>74311.111111111139</v>
      </c>
      <c r="G14" s="4">
        <f>IF(8&lt;='Sales Funnel'!C15,'Sales Funnel'!C25,0)</f>
        <v>4.0404040404040398</v>
      </c>
      <c r="H14" s="4">
        <f>IF(8&lt;='Sales Funnel'!C15,'Sales Funnel'!C23,0)</f>
        <v>1.3333333333333333</v>
      </c>
      <c r="I14" s="6" t="str">
        <f>IF(AND(B14&gt;=Milestones!B26,Milestones!A26&lt;&gt;""),Milestones!A26,IF(AND(B14&gt;=Milestones!B25,Milestones!A25&lt;&gt;""),Milestones!A25,IF(AND(B14&gt;=Milestones!B24,Milestones!A24&lt;&gt;""),Milestones!A24,IF(AND(B14&gt;=Milestones!B23,Milestones!A23&lt;&gt;""),Milestones!A23,IF(AND(B14&gt;=Milestones!B22,Milestones!A22&lt;&gt;""),Milestones!A22,IF(AND(B14&gt;=Milestones!B21,Milestones!A21&lt;&gt;""),Milestones!A21,IF(AND(B14&gt;=Milestones!B20,Milestones!A20&lt;&gt;""),Milestones!A20,IF(AND(B14&gt;=Milestones!B19,Milestones!A19&lt;&gt;""),Milestones!A19,IF(AND(B14&gt;=Milestones!B18,Milestones!A18&lt;&gt;""),Milestones!A18,IF(AND(B14&gt;=Milestones!B17,Milestones!A17&lt;&gt;""),Milestones!A17,IF(AND(B14&gt;=Milestones!B16,Milestones!A16&lt;&gt;""),Milestones!A16,IF(AND(B14&gt;=Milestones!B15,Milestones!A15&lt;&gt;""),Milestones!A15,IF(AND(B14&gt;=Milestones!B14,Milestones!A14&lt;&gt;""),Milestones!A14,IF(AND(B14&gt;=Milestones!B13,Milestones!A13&lt;&gt;""),Milestones!A13,IF(AND(B14&gt;=Milestones!B12,Milestones!A12&lt;&gt;""),Milestones!A12,IF(AND(B14&gt;=Milestones!B11,Milestones!A11&lt;&gt;""),Milestones!A11,IF(AND(B14&gt;=Milestones!B10,Milestones!A10&lt;&gt;""),Milestones!A10,IF(AND(B14&gt;=Milestones!B9,Milestones!A9&lt;&gt;""),Milestones!A9,IF(AND(B14&gt;=Milestones!B8,Milestones!A8&lt;&gt;""),Milestones!A8,IF(AND(B14&gt;=Milestones!B7,Milestones!A7&lt;&gt;""),Milestones!A7,"-"))))))))))))))))))))</f>
        <v>First full-time team member</v>
      </c>
      <c r="J14" s="5">
        <f>(IF(B14&gt;=Milestones!B7,Milestones!C7,0)+IF(B14&gt;=Milestones!B8,Milestones!C8,0)+IF(B14&gt;=Milestones!B9,Milestones!C9,0)+IF(B14&gt;=Milestones!B10,Milestones!C10,0)+IF(B14&gt;=Milestones!B11,Milestones!C11,0)+IF(B14&gt;=Milestones!B12,Milestones!C12,0)+IF(B14&gt;=Milestones!B13,Milestones!C13,0)+IF(B14&gt;=Milestones!B14,Milestones!C14,0)+IF(B14&gt;=Milestones!B15,Milestones!C15,0)+IF(B14&gt;=Milestones!B16,Milestones!C16,0)+IF(B14&gt;=Milestones!B17,Milestones!C17,0)+IF(B14&gt;=Milestones!B18,Milestones!C18,0)+IF(B14&gt;=Milestones!B19,Milestones!C19,0)+IF(B14&gt;=Milestones!B20,Milestones!C20,0)+IF(B14&gt;=Milestones!B21,Milestones!C21,0)+IF(B14&gt;=Milestones!B22,Milestones!C22,0)+IF(B14&gt;=Milestones!B23,Milestones!C23,0)+IF(B14&gt;=Milestones!B24,Milestones!C24,0)+IF(B14&gt;=Milestones!B25,Milestones!C25,0)+IF(B14&gt;=Milestones!B26,Milestones!C26,0))</f>
        <v>3750</v>
      </c>
      <c r="K14" s="5">
        <f t="shared" si="2"/>
        <v>2442.5925925925949</v>
      </c>
      <c r="L14" s="7">
        <f>F14/'Perfect P&amp;L'!C26</f>
        <v>0.66384592592592617</v>
      </c>
    </row>
    <row r="15" spans="1:12" x14ac:dyDescent="0.2">
      <c r="A15" s="2">
        <v>9</v>
      </c>
      <c r="B15" s="3">
        <f t="shared" si="3"/>
        <v>26.000000000000011</v>
      </c>
      <c r="C15" s="4">
        <f>IF(9&lt;='Sales Funnel'!C15,'Sales Funnel'!C18,0)</f>
        <v>0.66666666666666663</v>
      </c>
      <c r="D15" s="5">
        <f>IF(9&lt;='Sales Funnel'!C15,('Current State'!C8*(1-MIN(9,'Sales Funnel'!C15)/'Sales Funnel'!C15))+('Target State'!C8*MIN(9,'Sales Funnel'!C15)/'Sales Funnel'!C15),'Target State'!C8)</f>
        <v>250</v>
      </c>
      <c r="E15" s="5">
        <f t="shared" si="0"/>
        <v>6500.0000000000027</v>
      </c>
      <c r="F15" s="5">
        <f t="shared" si="1"/>
        <v>78000.000000000029</v>
      </c>
      <c r="G15" s="4">
        <f>IF(9&lt;='Sales Funnel'!C15,'Sales Funnel'!C25,0)</f>
        <v>4.0404040404040398</v>
      </c>
      <c r="H15" s="4">
        <f>IF(9&lt;='Sales Funnel'!C15,'Sales Funnel'!C23,0)</f>
        <v>1.3333333333333333</v>
      </c>
      <c r="I15" s="6" t="str">
        <f>IF(AND(B15&gt;=Milestones!B26,Milestones!A26&lt;&gt;""),Milestones!A26,IF(AND(B15&gt;=Milestones!B25,Milestones!A25&lt;&gt;""),Milestones!A25,IF(AND(B15&gt;=Milestones!B24,Milestones!A24&lt;&gt;""),Milestones!A24,IF(AND(B15&gt;=Milestones!B23,Milestones!A23&lt;&gt;""),Milestones!A23,IF(AND(B15&gt;=Milestones!B22,Milestones!A22&lt;&gt;""),Milestones!A22,IF(AND(B15&gt;=Milestones!B21,Milestones!A21&lt;&gt;""),Milestones!A21,IF(AND(B15&gt;=Milestones!B20,Milestones!A20&lt;&gt;""),Milestones!A20,IF(AND(B15&gt;=Milestones!B19,Milestones!A19&lt;&gt;""),Milestones!A19,IF(AND(B15&gt;=Milestones!B18,Milestones!A18&lt;&gt;""),Milestones!A18,IF(AND(B15&gt;=Milestones!B17,Milestones!A17&lt;&gt;""),Milestones!A17,IF(AND(B15&gt;=Milestones!B16,Milestones!A16&lt;&gt;""),Milestones!A16,IF(AND(B15&gt;=Milestones!B15,Milestones!A15&lt;&gt;""),Milestones!A15,IF(AND(B15&gt;=Milestones!B14,Milestones!A14&lt;&gt;""),Milestones!A14,IF(AND(B15&gt;=Milestones!B13,Milestones!A13&lt;&gt;""),Milestones!A13,IF(AND(B15&gt;=Milestones!B12,Milestones!A12&lt;&gt;""),Milestones!A12,IF(AND(B15&gt;=Milestones!B11,Milestones!A11&lt;&gt;""),Milestones!A11,IF(AND(B15&gt;=Milestones!B10,Milestones!A10&lt;&gt;""),Milestones!A10,IF(AND(B15&gt;=Milestones!B9,Milestones!A9&lt;&gt;""),Milestones!A9,IF(AND(B15&gt;=Milestones!B8,Milestones!A8&lt;&gt;""),Milestones!A8,IF(AND(B15&gt;=Milestones!B7,Milestones!A7&lt;&gt;""),Milestones!A7,"-"))))))))))))))))))))</f>
        <v>First full-time team member</v>
      </c>
      <c r="J15" s="5">
        <f>(IF(B15&gt;=Milestones!B7,Milestones!C7,0)+IF(B15&gt;=Milestones!B8,Milestones!C8,0)+IF(B15&gt;=Milestones!B9,Milestones!C9,0)+IF(B15&gt;=Milestones!B10,Milestones!C10,0)+IF(B15&gt;=Milestones!B11,Milestones!C11,0)+IF(B15&gt;=Milestones!B12,Milestones!C12,0)+IF(B15&gt;=Milestones!B13,Milestones!C13,0)+IF(B15&gt;=Milestones!B14,Milestones!C14,0)+IF(B15&gt;=Milestones!B15,Milestones!C15,0)+IF(B15&gt;=Milestones!B16,Milestones!C16,0)+IF(B15&gt;=Milestones!B17,Milestones!C17,0)+IF(B15&gt;=Milestones!B18,Milestones!C18,0)+IF(B15&gt;=Milestones!B19,Milestones!C19,0)+IF(B15&gt;=Milestones!B20,Milestones!C20,0)+IF(B15&gt;=Milestones!B21,Milestones!C21,0)+IF(B15&gt;=Milestones!B22,Milestones!C22,0)+IF(B15&gt;=Milestones!B23,Milestones!C23,0)+IF(B15&gt;=Milestones!B24,Milestones!C24,0)+IF(B15&gt;=Milestones!B25,Milestones!C25,0)+IF(B15&gt;=Milestones!B26,Milestones!C26,0))</f>
        <v>3750</v>
      </c>
      <c r="K15" s="5">
        <f t="shared" si="2"/>
        <v>2750.0000000000027</v>
      </c>
      <c r="L15" s="7">
        <f>F15/'Perfect P&amp;L'!C26</f>
        <v>0.6968000000000002</v>
      </c>
    </row>
    <row r="16" spans="1:12" x14ac:dyDescent="0.2">
      <c r="A16" s="2">
        <v>10</v>
      </c>
      <c r="B16" s="3">
        <f t="shared" si="3"/>
        <v>26.666666666666679</v>
      </c>
      <c r="C16" s="4">
        <f>IF(10&lt;='Sales Funnel'!C15,'Sales Funnel'!C18,0)</f>
        <v>0.66666666666666663</v>
      </c>
      <c r="D16" s="5">
        <f>IF(10&lt;='Sales Funnel'!C15,('Current State'!C8*(1-MIN(10,'Sales Funnel'!C15)/'Sales Funnel'!C15))+('Target State'!C8*MIN(10,'Sales Funnel'!C15)/'Sales Funnel'!C15),'Target State'!C8)</f>
        <v>255.55555555555554</v>
      </c>
      <c r="E16" s="5">
        <f t="shared" si="0"/>
        <v>6814.8148148148175</v>
      </c>
      <c r="F16" s="5">
        <f t="shared" si="1"/>
        <v>81777.77777777781</v>
      </c>
      <c r="G16" s="4">
        <f>IF(10&lt;='Sales Funnel'!C15,'Sales Funnel'!C25,0)</f>
        <v>4.0404040404040398</v>
      </c>
      <c r="H16" s="4">
        <f>IF(10&lt;='Sales Funnel'!C15,'Sales Funnel'!C23,0)</f>
        <v>1.3333333333333333</v>
      </c>
      <c r="I16" s="6" t="str">
        <f>IF(AND(B16&gt;=Milestones!B26,Milestones!A26&lt;&gt;""),Milestones!A26,IF(AND(B16&gt;=Milestones!B25,Milestones!A25&lt;&gt;""),Milestones!A25,IF(AND(B16&gt;=Milestones!B24,Milestones!A24&lt;&gt;""),Milestones!A24,IF(AND(B16&gt;=Milestones!B23,Milestones!A23&lt;&gt;""),Milestones!A23,IF(AND(B16&gt;=Milestones!B22,Milestones!A22&lt;&gt;""),Milestones!A22,IF(AND(B16&gt;=Milestones!B21,Milestones!A21&lt;&gt;""),Milestones!A21,IF(AND(B16&gt;=Milestones!B20,Milestones!A20&lt;&gt;""),Milestones!A20,IF(AND(B16&gt;=Milestones!B19,Milestones!A19&lt;&gt;""),Milestones!A19,IF(AND(B16&gt;=Milestones!B18,Milestones!A18&lt;&gt;""),Milestones!A18,IF(AND(B16&gt;=Milestones!B17,Milestones!A17&lt;&gt;""),Milestones!A17,IF(AND(B16&gt;=Milestones!B16,Milestones!A16&lt;&gt;""),Milestones!A16,IF(AND(B16&gt;=Milestones!B15,Milestones!A15&lt;&gt;""),Milestones!A15,IF(AND(B16&gt;=Milestones!B14,Milestones!A14&lt;&gt;""),Milestones!A14,IF(AND(B16&gt;=Milestones!B13,Milestones!A13&lt;&gt;""),Milestones!A13,IF(AND(B16&gt;=Milestones!B12,Milestones!A12&lt;&gt;""),Milestones!A12,IF(AND(B16&gt;=Milestones!B11,Milestones!A11&lt;&gt;""),Milestones!A11,IF(AND(B16&gt;=Milestones!B10,Milestones!A10&lt;&gt;""),Milestones!A10,IF(AND(B16&gt;=Milestones!B9,Milestones!A9&lt;&gt;""),Milestones!A9,IF(AND(B16&gt;=Milestones!B8,Milestones!A8&lt;&gt;""),Milestones!A8,IF(AND(B16&gt;=Milestones!B7,Milestones!A7&lt;&gt;""),Milestones!A7,"-"))))))))))))))))))))</f>
        <v>First full-time team member</v>
      </c>
      <c r="J16" s="5">
        <f>(IF(B16&gt;=Milestones!B7,Milestones!C7,0)+IF(B16&gt;=Milestones!B8,Milestones!C8,0)+IF(B16&gt;=Milestones!B9,Milestones!C9,0)+IF(B16&gt;=Milestones!B10,Milestones!C10,0)+IF(B16&gt;=Milestones!B11,Milestones!C11,0)+IF(B16&gt;=Milestones!B12,Milestones!C12,0)+IF(B16&gt;=Milestones!B13,Milestones!C13,0)+IF(B16&gt;=Milestones!B14,Milestones!C14,0)+IF(B16&gt;=Milestones!B15,Milestones!C15,0)+IF(B16&gt;=Milestones!B16,Milestones!C16,0)+IF(B16&gt;=Milestones!B17,Milestones!C17,0)+IF(B16&gt;=Milestones!B18,Milestones!C18,0)+IF(B16&gt;=Milestones!B19,Milestones!C19,0)+IF(B16&gt;=Milestones!B20,Milestones!C20,0)+IF(B16&gt;=Milestones!B21,Milestones!C21,0)+IF(B16&gt;=Milestones!B22,Milestones!C22,0)+IF(B16&gt;=Milestones!B23,Milestones!C23,0)+IF(B16&gt;=Milestones!B24,Milestones!C24,0)+IF(B16&gt;=Milestones!B25,Milestones!C25,0)+IF(B16&gt;=Milestones!B26,Milestones!C26,0))</f>
        <v>3750</v>
      </c>
      <c r="K16" s="5">
        <f t="shared" si="2"/>
        <v>3064.8148148148175</v>
      </c>
      <c r="L16" s="7">
        <f>F16/'Perfect P&amp;L'!C26</f>
        <v>0.73054814814814839</v>
      </c>
    </row>
    <row r="17" spans="1:12" x14ac:dyDescent="0.2">
      <c r="A17" s="2">
        <v>11</v>
      </c>
      <c r="B17" s="3">
        <f t="shared" si="3"/>
        <v>27.333333333333346</v>
      </c>
      <c r="C17" s="4">
        <f>IF(11&lt;='Sales Funnel'!C15,'Sales Funnel'!C18,0)</f>
        <v>0.66666666666666663</v>
      </c>
      <c r="D17" s="5">
        <f>IF(11&lt;='Sales Funnel'!C15,('Current State'!C8*(1-MIN(11,'Sales Funnel'!C15)/'Sales Funnel'!C15))+('Target State'!C8*MIN(11,'Sales Funnel'!C15)/'Sales Funnel'!C15),'Target State'!C8)</f>
        <v>261.11111111111109</v>
      </c>
      <c r="E17" s="5">
        <f t="shared" si="0"/>
        <v>7137.0370370370401</v>
      </c>
      <c r="F17" s="5">
        <f t="shared" si="1"/>
        <v>85644.444444444482</v>
      </c>
      <c r="G17" s="4">
        <f>IF(11&lt;='Sales Funnel'!C15,'Sales Funnel'!C25,0)</f>
        <v>4.0404040404040398</v>
      </c>
      <c r="H17" s="4">
        <f>IF(11&lt;='Sales Funnel'!C15,'Sales Funnel'!C23,0)</f>
        <v>1.3333333333333333</v>
      </c>
      <c r="I17" s="6" t="str">
        <f>IF(AND(B17&gt;=Milestones!B26,Milestones!A26&lt;&gt;""),Milestones!A26,IF(AND(B17&gt;=Milestones!B25,Milestones!A25&lt;&gt;""),Milestones!A25,IF(AND(B17&gt;=Milestones!B24,Milestones!A24&lt;&gt;""),Milestones!A24,IF(AND(B17&gt;=Milestones!B23,Milestones!A23&lt;&gt;""),Milestones!A23,IF(AND(B17&gt;=Milestones!B22,Milestones!A22&lt;&gt;""),Milestones!A22,IF(AND(B17&gt;=Milestones!B21,Milestones!A21&lt;&gt;""),Milestones!A21,IF(AND(B17&gt;=Milestones!B20,Milestones!A20&lt;&gt;""),Milestones!A20,IF(AND(B17&gt;=Milestones!B19,Milestones!A19&lt;&gt;""),Milestones!A19,IF(AND(B17&gt;=Milestones!B18,Milestones!A18&lt;&gt;""),Milestones!A18,IF(AND(B17&gt;=Milestones!B17,Milestones!A17&lt;&gt;""),Milestones!A17,IF(AND(B17&gt;=Milestones!B16,Milestones!A16&lt;&gt;""),Milestones!A16,IF(AND(B17&gt;=Milestones!B15,Milestones!A15&lt;&gt;""),Milestones!A15,IF(AND(B17&gt;=Milestones!B14,Milestones!A14&lt;&gt;""),Milestones!A14,IF(AND(B17&gt;=Milestones!B13,Milestones!A13&lt;&gt;""),Milestones!A13,IF(AND(B17&gt;=Milestones!B12,Milestones!A12&lt;&gt;""),Milestones!A12,IF(AND(B17&gt;=Milestones!B11,Milestones!A11&lt;&gt;""),Milestones!A11,IF(AND(B17&gt;=Milestones!B10,Milestones!A10&lt;&gt;""),Milestones!A10,IF(AND(B17&gt;=Milestones!B9,Milestones!A9&lt;&gt;""),Milestones!A9,IF(AND(B17&gt;=Milestones!B8,Milestones!A8&lt;&gt;""),Milestones!A8,IF(AND(B17&gt;=Milestones!B7,Milestones!A7&lt;&gt;""),Milestones!A7,"-"))))))))))))))))))))</f>
        <v>First full-time team member</v>
      </c>
      <c r="J17" s="5">
        <f>(IF(B17&gt;=Milestones!B7,Milestones!C7,0)+IF(B17&gt;=Milestones!B8,Milestones!C8,0)+IF(B17&gt;=Milestones!B9,Milestones!C9,0)+IF(B17&gt;=Milestones!B10,Milestones!C10,0)+IF(B17&gt;=Milestones!B11,Milestones!C11,0)+IF(B17&gt;=Milestones!B12,Milestones!C12,0)+IF(B17&gt;=Milestones!B13,Milestones!C13,0)+IF(B17&gt;=Milestones!B14,Milestones!C14,0)+IF(B17&gt;=Milestones!B15,Milestones!C15,0)+IF(B17&gt;=Milestones!B16,Milestones!C16,0)+IF(B17&gt;=Milestones!B17,Milestones!C17,0)+IF(B17&gt;=Milestones!B18,Milestones!C18,0)+IF(B17&gt;=Milestones!B19,Milestones!C19,0)+IF(B17&gt;=Milestones!B20,Milestones!C20,0)+IF(B17&gt;=Milestones!B21,Milestones!C21,0)+IF(B17&gt;=Milestones!B22,Milestones!C22,0)+IF(B17&gt;=Milestones!B23,Milestones!C23,0)+IF(B17&gt;=Milestones!B24,Milestones!C24,0)+IF(B17&gt;=Milestones!B25,Milestones!C25,0)+IF(B17&gt;=Milestones!B26,Milestones!C26,0))</f>
        <v>3750</v>
      </c>
      <c r="K17" s="5">
        <f t="shared" si="2"/>
        <v>3387.0370370370401</v>
      </c>
      <c r="L17" s="7">
        <f>F17/'Perfect P&amp;L'!C26</f>
        <v>0.76509037037037064</v>
      </c>
    </row>
    <row r="18" spans="1:12" x14ac:dyDescent="0.2">
      <c r="A18" s="2">
        <v>12</v>
      </c>
      <c r="B18" s="3">
        <f t="shared" si="3"/>
        <v>28.000000000000014</v>
      </c>
      <c r="C18" s="4">
        <f>IF(12&lt;='Sales Funnel'!C15,'Sales Funnel'!C18,0)</f>
        <v>0.66666666666666663</v>
      </c>
      <c r="D18" s="5">
        <f>IF(12&lt;='Sales Funnel'!C15,('Current State'!C8*(1-MIN(12,'Sales Funnel'!C15)/'Sales Funnel'!C15))+('Target State'!C8*MIN(12,'Sales Funnel'!C15)/'Sales Funnel'!C15),'Target State'!C8)</f>
        <v>266.66666666666669</v>
      </c>
      <c r="E18" s="5">
        <f t="shared" si="0"/>
        <v>7466.6666666666706</v>
      </c>
      <c r="F18" s="5">
        <f t="shared" si="1"/>
        <v>89600.000000000044</v>
      </c>
      <c r="G18" s="4">
        <f>IF(12&lt;='Sales Funnel'!C15,'Sales Funnel'!C25,0)</f>
        <v>4.0404040404040398</v>
      </c>
      <c r="H18" s="4">
        <f>IF(12&lt;='Sales Funnel'!C15,'Sales Funnel'!C23,0)</f>
        <v>1.3333333333333333</v>
      </c>
      <c r="I18" s="6" t="str">
        <f>IF(AND(B18&gt;=Milestones!B26,Milestones!A26&lt;&gt;""),Milestones!A26,IF(AND(B18&gt;=Milestones!B25,Milestones!A25&lt;&gt;""),Milestones!A25,IF(AND(B18&gt;=Milestones!B24,Milestones!A24&lt;&gt;""),Milestones!A24,IF(AND(B18&gt;=Milestones!B23,Milestones!A23&lt;&gt;""),Milestones!A23,IF(AND(B18&gt;=Milestones!B22,Milestones!A22&lt;&gt;""),Milestones!A22,IF(AND(B18&gt;=Milestones!B21,Milestones!A21&lt;&gt;""),Milestones!A21,IF(AND(B18&gt;=Milestones!B20,Milestones!A20&lt;&gt;""),Milestones!A20,IF(AND(B18&gt;=Milestones!B19,Milestones!A19&lt;&gt;""),Milestones!A19,IF(AND(B18&gt;=Milestones!B18,Milestones!A18&lt;&gt;""),Milestones!A18,IF(AND(B18&gt;=Milestones!B17,Milestones!A17&lt;&gt;""),Milestones!A17,IF(AND(B18&gt;=Milestones!B16,Milestones!A16&lt;&gt;""),Milestones!A16,IF(AND(B18&gt;=Milestones!B15,Milestones!A15&lt;&gt;""),Milestones!A15,IF(AND(B18&gt;=Milestones!B14,Milestones!A14&lt;&gt;""),Milestones!A14,IF(AND(B18&gt;=Milestones!B13,Milestones!A13&lt;&gt;""),Milestones!A13,IF(AND(B18&gt;=Milestones!B12,Milestones!A12&lt;&gt;""),Milestones!A12,IF(AND(B18&gt;=Milestones!B11,Milestones!A11&lt;&gt;""),Milestones!A11,IF(AND(B18&gt;=Milestones!B10,Milestones!A10&lt;&gt;""),Milestones!A10,IF(AND(B18&gt;=Milestones!B9,Milestones!A9&lt;&gt;""),Milestones!A9,IF(AND(B18&gt;=Milestones!B8,Milestones!A8&lt;&gt;""),Milestones!A8,IF(AND(B18&gt;=Milestones!B7,Milestones!A7&lt;&gt;""),Milestones!A7,"-"))))))))))))))))))))</f>
        <v>First full-time team member</v>
      </c>
      <c r="J18" s="5">
        <f>(IF(B18&gt;=Milestones!B7,Milestones!C7,0)+IF(B18&gt;=Milestones!B8,Milestones!C8,0)+IF(B18&gt;=Milestones!B9,Milestones!C9,0)+IF(B18&gt;=Milestones!B10,Milestones!C10,0)+IF(B18&gt;=Milestones!B11,Milestones!C11,0)+IF(B18&gt;=Milestones!B12,Milestones!C12,0)+IF(B18&gt;=Milestones!B13,Milestones!C13,0)+IF(B18&gt;=Milestones!B14,Milestones!C14,0)+IF(B18&gt;=Milestones!B15,Milestones!C15,0)+IF(B18&gt;=Milestones!B16,Milestones!C16,0)+IF(B18&gt;=Milestones!B17,Milestones!C17,0)+IF(B18&gt;=Milestones!B18,Milestones!C18,0)+IF(B18&gt;=Milestones!B19,Milestones!C19,0)+IF(B18&gt;=Milestones!B20,Milestones!C20,0)+IF(B18&gt;=Milestones!B21,Milestones!C21,0)+IF(B18&gt;=Milestones!B22,Milestones!C22,0)+IF(B18&gt;=Milestones!B23,Milestones!C23,0)+IF(B18&gt;=Milestones!B24,Milestones!C24,0)+IF(B18&gt;=Milestones!B25,Milestones!C25,0)+IF(B18&gt;=Milestones!B26,Milestones!C26,0))</f>
        <v>3750</v>
      </c>
      <c r="K18" s="5">
        <f t="shared" si="2"/>
        <v>3716.6666666666706</v>
      </c>
      <c r="L18" s="7">
        <f>F18/'Perfect P&amp;L'!C26</f>
        <v>0.80042666666666706</v>
      </c>
    </row>
    <row r="19" spans="1:12" x14ac:dyDescent="0.2">
      <c r="A19" s="2">
        <v>13</v>
      </c>
      <c r="B19" s="3">
        <f t="shared" si="3"/>
        <v>28.666666666666682</v>
      </c>
      <c r="C19" s="4">
        <f>IF(13&lt;='Sales Funnel'!C15,'Sales Funnel'!C18,0)</f>
        <v>0.66666666666666663</v>
      </c>
      <c r="D19" s="5">
        <f>IF(13&lt;='Sales Funnel'!C15,('Current State'!C8*(1-MIN(13,'Sales Funnel'!C15)/'Sales Funnel'!C15))+('Target State'!C8*MIN(13,'Sales Funnel'!C15)/'Sales Funnel'!C15),'Target State'!C8)</f>
        <v>272.22222222222223</v>
      </c>
      <c r="E19" s="5">
        <f t="shared" si="0"/>
        <v>7803.703703703708</v>
      </c>
      <c r="F19" s="5">
        <f t="shared" si="1"/>
        <v>93644.444444444496</v>
      </c>
      <c r="G19" s="4">
        <f>IF(13&lt;='Sales Funnel'!C15,'Sales Funnel'!C25,0)</f>
        <v>4.0404040404040398</v>
      </c>
      <c r="H19" s="4">
        <f>IF(13&lt;='Sales Funnel'!C15,'Sales Funnel'!C23,0)</f>
        <v>1.3333333333333333</v>
      </c>
      <c r="I19" s="6" t="str">
        <f>IF(AND(B19&gt;=Milestones!B26,Milestones!A26&lt;&gt;""),Milestones!A26,IF(AND(B19&gt;=Milestones!B25,Milestones!A25&lt;&gt;""),Milestones!A25,IF(AND(B19&gt;=Milestones!B24,Milestones!A24&lt;&gt;""),Milestones!A24,IF(AND(B19&gt;=Milestones!B23,Milestones!A23&lt;&gt;""),Milestones!A23,IF(AND(B19&gt;=Milestones!B22,Milestones!A22&lt;&gt;""),Milestones!A22,IF(AND(B19&gt;=Milestones!B21,Milestones!A21&lt;&gt;""),Milestones!A21,IF(AND(B19&gt;=Milestones!B20,Milestones!A20&lt;&gt;""),Milestones!A20,IF(AND(B19&gt;=Milestones!B19,Milestones!A19&lt;&gt;""),Milestones!A19,IF(AND(B19&gt;=Milestones!B18,Milestones!A18&lt;&gt;""),Milestones!A18,IF(AND(B19&gt;=Milestones!B17,Milestones!A17&lt;&gt;""),Milestones!A17,IF(AND(B19&gt;=Milestones!B16,Milestones!A16&lt;&gt;""),Milestones!A16,IF(AND(B19&gt;=Milestones!B15,Milestones!A15&lt;&gt;""),Milestones!A15,IF(AND(B19&gt;=Milestones!B14,Milestones!A14&lt;&gt;""),Milestones!A14,IF(AND(B19&gt;=Milestones!B13,Milestones!A13&lt;&gt;""),Milestones!A13,IF(AND(B19&gt;=Milestones!B12,Milestones!A12&lt;&gt;""),Milestones!A12,IF(AND(B19&gt;=Milestones!B11,Milestones!A11&lt;&gt;""),Milestones!A11,IF(AND(B19&gt;=Milestones!B10,Milestones!A10&lt;&gt;""),Milestones!A10,IF(AND(B19&gt;=Milestones!B9,Milestones!A9&lt;&gt;""),Milestones!A9,IF(AND(B19&gt;=Milestones!B8,Milestones!A8&lt;&gt;""),Milestones!A8,IF(AND(B19&gt;=Milestones!B7,Milestones!A7&lt;&gt;""),Milestones!A7,"-"))))))))))))))))))))</f>
        <v>First full-time team member</v>
      </c>
      <c r="J19" s="5">
        <f>(IF(B19&gt;=Milestones!B7,Milestones!C7,0)+IF(B19&gt;=Milestones!B8,Milestones!C8,0)+IF(B19&gt;=Milestones!B9,Milestones!C9,0)+IF(B19&gt;=Milestones!B10,Milestones!C10,0)+IF(B19&gt;=Milestones!B11,Milestones!C11,0)+IF(B19&gt;=Milestones!B12,Milestones!C12,0)+IF(B19&gt;=Milestones!B13,Milestones!C13,0)+IF(B19&gt;=Milestones!B14,Milestones!C14,0)+IF(B19&gt;=Milestones!B15,Milestones!C15,0)+IF(B19&gt;=Milestones!B16,Milestones!C16,0)+IF(B19&gt;=Milestones!B17,Milestones!C17,0)+IF(B19&gt;=Milestones!B18,Milestones!C18,0)+IF(B19&gt;=Milestones!B19,Milestones!C19,0)+IF(B19&gt;=Milestones!B20,Milestones!C20,0)+IF(B19&gt;=Milestones!B21,Milestones!C21,0)+IF(B19&gt;=Milestones!B22,Milestones!C22,0)+IF(B19&gt;=Milestones!B23,Milestones!C23,0)+IF(B19&gt;=Milestones!B24,Milestones!C24,0)+IF(B19&gt;=Milestones!B25,Milestones!C25,0)+IF(B19&gt;=Milestones!B26,Milestones!C26,0))</f>
        <v>3750</v>
      </c>
      <c r="K19" s="5">
        <f t="shared" si="2"/>
        <v>4053.703703703708</v>
      </c>
      <c r="L19" s="7">
        <f>F19/'Perfect P&amp;L'!C26</f>
        <v>0.83655703703703743</v>
      </c>
    </row>
    <row r="20" spans="1:12" x14ac:dyDescent="0.2">
      <c r="A20" s="2">
        <v>14</v>
      </c>
      <c r="B20" s="3">
        <f t="shared" si="3"/>
        <v>29.33333333333335</v>
      </c>
      <c r="C20" s="4">
        <f>IF(14&lt;='Sales Funnel'!C15,'Sales Funnel'!C18,0)</f>
        <v>0.66666666666666663</v>
      </c>
      <c r="D20" s="5">
        <f>IF(14&lt;='Sales Funnel'!C15,('Current State'!C8*(1-MIN(14,'Sales Funnel'!C15)/'Sales Funnel'!C15))+('Target State'!C8*MIN(14,'Sales Funnel'!C15)/'Sales Funnel'!C15),'Target State'!C8)</f>
        <v>277.77777777777777</v>
      </c>
      <c r="E20" s="5">
        <f t="shared" si="0"/>
        <v>8148.1481481481524</v>
      </c>
      <c r="F20" s="5">
        <f t="shared" si="1"/>
        <v>97777.777777777825</v>
      </c>
      <c r="G20" s="4">
        <f>IF(14&lt;='Sales Funnel'!C15,'Sales Funnel'!C25,0)</f>
        <v>4.0404040404040398</v>
      </c>
      <c r="H20" s="4">
        <f>IF(14&lt;='Sales Funnel'!C15,'Sales Funnel'!C23,0)</f>
        <v>1.3333333333333333</v>
      </c>
      <c r="I20" s="6" t="str">
        <f>IF(AND(B20&gt;=Milestones!B26,Milestones!A26&lt;&gt;""),Milestones!A26,IF(AND(B20&gt;=Milestones!B25,Milestones!A25&lt;&gt;""),Milestones!A25,IF(AND(B20&gt;=Milestones!B24,Milestones!A24&lt;&gt;""),Milestones!A24,IF(AND(B20&gt;=Milestones!B23,Milestones!A23&lt;&gt;""),Milestones!A23,IF(AND(B20&gt;=Milestones!B22,Milestones!A22&lt;&gt;""),Milestones!A22,IF(AND(B20&gt;=Milestones!B21,Milestones!A21&lt;&gt;""),Milestones!A21,IF(AND(B20&gt;=Milestones!B20,Milestones!A20&lt;&gt;""),Milestones!A20,IF(AND(B20&gt;=Milestones!B19,Milestones!A19&lt;&gt;""),Milestones!A19,IF(AND(B20&gt;=Milestones!B18,Milestones!A18&lt;&gt;""),Milestones!A18,IF(AND(B20&gt;=Milestones!B17,Milestones!A17&lt;&gt;""),Milestones!A17,IF(AND(B20&gt;=Milestones!B16,Milestones!A16&lt;&gt;""),Milestones!A16,IF(AND(B20&gt;=Milestones!B15,Milestones!A15&lt;&gt;""),Milestones!A15,IF(AND(B20&gt;=Milestones!B14,Milestones!A14&lt;&gt;""),Milestones!A14,IF(AND(B20&gt;=Milestones!B13,Milestones!A13&lt;&gt;""),Milestones!A13,IF(AND(B20&gt;=Milestones!B12,Milestones!A12&lt;&gt;""),Milestones!A12,IF(AND(B20&gt;=Milestones!B11,Milestones!A11&lt;&gt;""),Milestones!A11,IF(AND(B20&gt;=Milestones!B10,Milestones!A10&lt;&gt;""),Milestones!A10,IF(AND(B20&gt;=Milestones!B9,Milestones!A9&lt;&gt;""),Milestones!A9,IF(AND(B20&gt;=Milestones!B8,Milestones!A8&lt;&gt;""),Milestones!A8,IF(AND(B20&gt;=Milestones!B7,Milestones!A7&lt;&gt;""),Milestones!A7,"-"))))))))))))))))))))</f>
        <v>First full-time team member</v>
      </c>
      <c r="J20" s="5">
        <f>(IF(B20&gt;=Milestones!B7,Milestones!C7,0)+IF(B20&gt;=Milestones!B8,Milestones!C8,0)+IF(B20&gt;=Milestones!B9,Milestones!C9,0)+IF(B20&gt;=Milestones!B10,Milestones!C10,0)+IF(B20&gt;=Milestones!B11,Milestones!C11,0)+IF(B20&gt;=Milestones!B12,Milestones!C12,0)+IF(B20&gt;=Milestones!B13,Milestones!C13,0)+IF(B20&gt;=Milestones!B14,Milestones!C14,0)+IF(B20&gt;=Milestones!B15,Milestones!C15,0)+IF(B20&gt;=Milestones!B16,Milestones!C16,0)+IF(B20&gt;=Milestones!B17,Milestones!C17,0)+IF(B20&gt;=Milestones!B18,Milestones!C18,0)+IF(B20&gt;=Milestones!B19,Milestones!C19,0)+IF(B20&gt;=Milestones!B20,Milestones!C20,0)+IF(B20&gt;=Milestones!B21,Milestones!C21,0)+IF(B20&gt;=Milestones!B22,Milestones!C22,0)+IF(B20&gt;=Milestones!B23,Milestones!C23,0)+IF(B20&gt;=Milestones!B24,Milestones!C24,0)+IF(B20&gt;=Milestones!B25,Milestones!C25,0)+IF(B20&gt;=Milestones!B26,Milestones!C26,0))</f>
        <v>3750</v>
      </c>
      <c r="K20" s="5">
        <f t="shared" si="2"/>
        <v>4398.1481481481524</v>
      </c>
      <c r="L20" s="7">
        <f>F20/'Perfect P&amp;L'!C26</f>
        <v>0.87348148148148186</v>
      </c>
    </row>
    <row r="21" spans="1:12" x14ac:dyDescent="0.2">
      <c r="A21" s="2">
        <v>15</v>
      </c>
      <c r="B21" s="3">
        <f t="shared" si="3"/>
        <v>30.000000000000018</v>
      </c>
      <c r="C21" s="4">
        <f>IF(15&lt;='Sales Funnel'!C15,'Sales Funnel'!C18,0)</f>
        <v>0.66666666666666663</v>
      </c>
      <c r="D21" s="5">
        <f>IF(15&lt;='Sales Funnel'!C15,('Current State'!C8*(1-MIN(15,'Sales Funnel'!C15)/'Sales Funnel'!C15))+('Target State'!C8*MIN(15,'Sales Funnel'!C15)/'Sales Funnel'!C15),'Target State'!C8)</f>
        <v>283.33333333333331</v>
      </c>
      <c r="E21" s="5">
        <f t="shared" si="0"/>
        <v>8500.0000000000036</v>
      </c>
      <c r="F21" s="5">
        <f t="shared" si="1"/>
        <v>102000.00000000004</v>
      </c>
      <c r="G21" s="4">
        <f>IF(15&lt;='Sales Funnel'!C15,'Sales Funnel'!C25,0)</f>
        <v>4.0404040404040398</v>
      </c>
      <c r="H21" s="4">
        <f>IF(15&lt;='Sales Funnel'!C15,'Sales Funnel'!C23,0)</f>
        <v>1.3333333333333333</v>
      </c>
      <c r="I21" s="6" t="str">
        <f>IF(AND(B21&gt;=Milestones!B26,Milestones!A26&lt;&gt;""),Milestones!A26,IF(AND(B21&gt;=Milestones!B25,Milestones!A25&lt;&gt;""),Milestones!A25,IF(AND(B21&gt;=Milestones!B24,Milestones!A24&lt;&gt;""),Milestones!A24,IF(AND(B21&gt;=Milestones!B23,Milestones!A23&lt;&gt;""),Milestones!A23,IF(AND(B21&gt;=Milestones!B22,Milestones!A22&lt;&gt;""),Milestones!A22,IF(AND(B21&gt;=Milestones!B21,Milestones!A21&lt;&gt;""),Milestones!A21,IF(AND(B21&gt;=Milestones!B20,Milestones!A20&lt;&gt;""),Milestones!A20,IF(AND(B21&gt;=Milestones!B19,Milestones!A19&lt;&gt;""),Milestones!A19,IF(AND(B21&gt;=Milestones!B18,Milestones!A18&lt;&gt;""),Milestones!A18,IF(AND(B21&gt;=Milestones!B17,Milestones!A17&lt;&gt;""),Milestones!A17,IF(AND(B21&gt;=Milestones!B16,Milestones!A16&lt;&gt;""),Milestones!A16,IF(AND(B21&gt;=Milestones!B15,Milestones!A15&lt;&gt;""),Milestones!A15,IF(AND(B21&gt;=Milestones!B14,Milestones!A14&lt;&gt;""),Milestones!A14,IF(AND(B21&gt;=Milestones!B13,Milestones!A13&lt;&gt;""),Milestones!A13,IF(AND(B21&gt;=Milestones!B12,Milestones!A12&lt;&gt;""),Milestones!A12,IF(AND(B21&gt;=Milestones!B11,Milestones!A11&lt;&gt;""),Milestones!A11,IF(AND(B21&gt;=Milestones!B10,Milestones!A10&lt;&gt;""),Milestones!A10,IF(AND(B21&gt;=Milestones!B9,Milestones!A9&lt;&gt;""),Milestones!A9,IF(AND(B21&gt;=Milestones!B8,Milestones!A8&lt;&gt;""),Milestones!A8,IF(AND(B21&gt;=Milestones!B7,Milestones!A7&lt;&gt;""),Milestones!A7,"-"))))))))))))))))))))</f>
        <v>Advanced software tools</v>
      </c>
      <c r="J21" s="5">
        <f>(IF(B21&gt;=Milestones!B7,Milestones!C7,0)+IF(B21&gt;=Milestones!B8,Milestones!C8,0)+IF(B21&gt;=Milestones!B9,Milestones!C9,0)+IF(B21&gt;=Milestones!B10,Milestones!C10,0)+IF(B21&gt;=Milestones!B11,Milestones!C11,0)+IF(B21&gt;=Milestones!B12,Milestones!C12,0)+IF(B21&gt;=Milestones!B13,Milestones!C13,0)+IF(B21&gt;=Milestones!B14,Milestones!C14,0)+IF(B21&gt;=Milestones!B15,Milestones!C15,0)+IF(B21&gt;=Milestones!B16,Milestones!C16,0)+IF(B21&gt;=Milestones!B17,Milestones!C17,0)+IF(B21&gt;=Milestones!B18,Milestones!C18,0)+IF(B21&gt;=Milestones!B19,Milestones!C19,0)+IF(B21&gt;=Milestones!B20,Milestones!C20,0)+IF(B21&gt;=Milestones!B21,Milestones!C21,0)+IF(B21&gt;=Milestones!B22,Milestones!C22,0)+IF(B21&gt;=Milestones!B23,Milestones!C23,0)+IF(B21&gt;=Milestones!B24,Milestones!C24,0)+IF(B21&gt;=Milestones!B25,Milestones!C25,0)+IF(B21&gt;=Milestones!B26,Milestones!C26,0))</f>
        <v>3950</v>
      </c>
      <c r="K21" s="5">
        <f t="shared" si="2"/>
        <v>4550.0000000000036</v>
      </c>
      <c r="L21" s="7">
        <f>F21/'Perfect P&amp;L'!C26</f>
        <v>0.91120000000000034</v>
      </c>
    </row>
    <row r="22" spans="1:12" x14ac:dyDescent="0.2">
      <c r="A22" s="2">
        <v>16</v>
      </c>
      <c r="B22" s="3">
        <f t="shared" si="3"/>
        <v>30.666666666666686</v>
      </c>
      <c r="C22" s="4">
        <f>IF(16&lt;='Sales Funnel'!C15,'Sales Funnel'!C18,0)</f>
        <v>0.66666666666666663</v>
      </c>
      <c r="D22" s="5">
        <f>IF(16&lt;='Sales Funnel'!C15,('Current State'!C8*(1-MIN(16,'Sales Funnel'!C15)/'Sales Funnel'!C15))+('Target State'!C8*MIN(16,'Sales Funnel'!C15)/'Sales Funnel'!C15),'Target State'!C8)</f>
        <v>288.88888888888891</v>
      </c>
      <c r="E22" s="5">
        <f t="shared" si="0"/>
        <v>8859.2592592592664</v>
      </c>
      <c r="F22" s="5">
        <f t="shared" si="1"/>
        <v>106311.1111111112</v>
      </c>
      <c r="G22" s="4">
        <f>IF(16&lt;='Sales Funnel'!C15,'Sales Funnel'!C25,0)</f>
        <v>4.0404040404040398</v>
      </c>
      <c r="H22" s="4">
        <f>IF(16&lt;='Sales Funnel'!C15,'Sales Funnel'!C23,0)</f>
        <v>1.3333333333333333</v>
      </c>
      <c r="I22" s="6" t="str">
        <f>IF(AND(B22&gt;=Milestones!B26,Milestones!A26&lt;&gt;""),Milestones!A26,IF(AND(B22&gt;=Milestones!B25,Milestones!A25&lt;&gt;""),Milestones!A25,IF(AND(B22&gt;=Milestones!B24,Milestones!A24&lt;&gt;""),Milestones!A24,IF(AND(B22&gt;=Milestones!B23,Milestones!A23&lt;&gt;""),Milestones!A23,IF(AND(B22&gt;=Milestones!B22,Milestones!A22&lt;&gt;""),Milestones!A22,IF(AND(B22&gt;=Milestones!B21,Milestones!A21&lt;&gt;""),Milestones!A21,IF(AND(B22&gt;=Milestones!B20,Milestones!A20&lt;&gt;""),Milestones!A20,IF(AND(B22&gt;=Milestones!B19,Milestones!A19&lt;&gt;""),Milestones!A19,IF(AND(B22&gt;=Milestones!B18,Milestones!A18&lt;&gt;""),Milestones!A18,IF(AND(B22&gt;=Milestones!B17,Milestones!A17&lt;&gt;""),Milestones!A17,IF(AND(B22&gt;=Milestones!B16,Milestones!A16&lt;&gt;""),Milestones!A16,IF(AND(B22&gt;=Milestones!B15,Milestones!A15&lt;&gt;""),Milestones!A15,IF(AND(B22&gt;=Milestones!B14,Milestones!A14&lt;&gt;""),Milestones!A14,IF(AND(B22&gt;=Milestones!B13,Milestones!A13&lt;&gt;""),Milestones!A13,IF(AND(B22&gt;=Milestones!B12,Milestones!A12&lt;&gt;""),Milestones!A12,IF(AND(B22&gt;=Milestones!B11,Milestones!A11&lt;&gt;""),Milestones!A11,IF(AND(B22&gt;=Milestones!B10,Milestones!A10&lt;&gt;""),Milestones!A10,IF(AND(B22&gt;=Milestones!B9,Milestones!A9&lt;&gt;""),Milestones!A9,IF(AND(B22&gt;=Milestones!B8,Milestones!A8&lt;&gt;""),Milestones!A8,IF(AND(B22&gt;=Milestones!B7,Milestones!A7&lt;&gt;""),Milestones!A7,"-"))))))))))))))))))))</f>
        <v>Advanced software tools</v>
      </c>
      <c r="J22" s="5">
        <f>(IF(B22&gt;=Milestones!B7,Milestones!C7,0)+IF(B22&gt;=Milestones!B8,Milestones!C8,0)+IF(B22&gt;=Milestones!B9,Milestones!C9,0)+IF(B22&gt;=Milestones!B10,Milestones!C10,0)+IF(B22&gt;=Milestones!B11,Milestones!C11,0)+IF(B22&gt;=Milestones!B12,Milestones!C12,0)+IF(B22&gt;=Milestones!B13,Milestones!C13,0)+IF(B22&gt;=Milestones!B14,Milestones!C14,0)+IF(B22&gt;=Milestones!B15,Milestones!C15,0)+IF(B22&gt;=Milestones!B16,Milestones!C16,0)+IF(B22&gt;=Milestones!B17,Milestones!C17,0)+IF(B22&gt;=Milestones!B18,Milestones!C18,0)+IF(B22&gt;=Milestones!B19,Milestones!C19,0)+IF(B22&gt;=Milestones!B20,Milestones!C20,0)+IF(B22&gt;=Milestones!B21,Milestones!C21,0)+IF(B22&gt;=Milestones!B22,Milestones!C22,0)+IF(B22&gt;=Milestones!B23,Milestones!C23,0)+IF(B22&gt;=Milestones!B24,Milestones!C24,0)+IF(B22&gt;=Milestones!B25,Milestones!C25,0)+IF(B22&gt;=Milestones!B26,Milestones!C26,0))</f>
        <v>3950</v>
      </c>
      <c r="K22" s="5">
        <f t="shared" si="2"/>
        <v>4909.2592592592664</v>
      </c>
      <c r="L22" s="7">
        <f>F22/'Perfect P&amp;L'!C26</f>
        <v>0.94971259259259333</v>
      </c>
    </row>
    <row r="23" spans="1:12" x14ac:dyDescent="0.2">
      <c r="A23" s="2">
        <v>17</v>
      </c>
      <c r="B23" s="3">
        <f t="shared" si="3"/>
        <v>31.333333333333353</v>
      </c>
      <c r="C23" s="4">
        <f>IF(17&lt;='Sales Funnel'!C15,'Sales Funnel'!C18,0)</f>
        <v>0.66666666666666663</v>
      </c>
      <c r="D23" s="5">
        <f>IF(17&lt;='Sales Funnel'!C15,('Current State'!C8*(1-MIN(17,'Sales Funnel'!C15)/'Sales Funnel'!C15))+('Target State'!C8*MIN(17,'Sales Funnel'!C15)/'Sales Funnel'!C15),'Target State'!C8)</f>
        <v>294.44444444444446</v>
      </c>
      <c r="E23" s="5">
        <f t="shared" si="0"/>
        <v>9225.9259259259325</v>
      </c>
      <c r="F23" s="5">
        <f t="shared" si="1"/>
        <v>110711.11111111118</v>
      </c>
      <c r="G23" s="4">
        <f>IF(17&lt;='Sales Funnel'!C15,'Sales Funnel'!C25,0)</f>
        <v>4.0404040404040398</v>
      </c>
      <c r="H23" s="4">
        <f>IF(17&lt;='Sales Funnel'!C15,'Sales Funnel'!C23,0)</f>
        <v>1.3333333333333333</v>
      </c>
      <c r="I23" s="6" t="str">
        <f>IF(AND(B23&gt;=Milestones!B26,Milestones!A26&lt;&gt;""),Milestones!A26,IF(AND(B23&gt;=Milestones!B25,Milestones!A25&lt;&gt;""),Milestones!A25,IF(AND(B23&gt;=Milestones!B24,Milestones!A24&lt;&gt;""),Milestones!A24,IF(AND(B23&gt;=Milestones!B23,Milestones!A23&lt;&gt;""),Milestones!A23,IF(AND(B23&gt;=Milestones!B22,Milestones!A22&lt;&gt;""),Milestones!A22,IF(AND(B23&gt;=Milestones!B21,Milestones!A21&lt;&gt;""),Milestones!A21,IF(AND(B23&gt;=Milestones!B20,Milestones!A20&lt;&gt;""),Milestones!A20,IF(AND(B23&gt;=Milestones!B19,Milestones!A19&lt;&gt;""),Milestones!A19,IF(AND(B23&gt;=Milestones!B18,Milestones!A18&lt;&gt;""),Milestones!A18,IF(AND(B23&gt;=Milestones!B17,Milestones!A17&lt;&gt;""),Milestones!A17,IF(AND(B23&gt;=Milestones!B16,Milestones!A16&lt;&gt;""),Milestones!A16,IF(AND(B23&gt;=Milestones!B15,Milestones!A15&lt;&gt;""),Milestones!A15,IF(AND(B23&gt;=Milestones!B14,Milestones!A14&lt;&gt;""),Milestones!A14,IF(AND(B23&gt;=Milestones!B13,Milestones!A13&lt;&gt;""),Milestones!A13,IF(AND(B23&gt;=Milestones!B12,Milestones!A12&lt;&gt;""),Milestones!A12,IF(AND(B23&gt;=Milestones!B11,Milestones!A11&lt;&gt;""),Milestones!A11,IF(AND(B23&gt;=Milestones!B10,Milestones!A10&lt;&gt;""),Milestones!A10,IF(AND(B23&gt;=Milestones!B9,Milestones!A9&lt;&gt;""),Milestones!A9,IF(AND(B23&gt;=Milestones!B8,Milestones!A8&lt;&gt;""),Milestones!A8,IF(AND(B23&gt;=Milestones!B7,Milestones!A7&lt;&gt;""),Milestones!A7,"-"))))))))))))))))))))</f>
        <v>Advanced software tools</v>
      </c>
      <c r="J23" s="5">
        <f>(IF(B23&gt;=Milestones!B7,Milestones!C7,0)+IF(B23&gt;=Milestones!B8,Milestones!C8,0)+IF(B23&gt;=Milestones!B9,Milestones!C9,0)+IF(B23&gt;=Milestones!B10,Milestones!C10,0)+IF(B23&gt;=Milestones!B11,Milestones!C11,0)+IF(B23&gt;=Milestones!B12,Milestones!C12,0)+IF(B23&gt;=Milestones!B13,Milestones!C13,0)+IF(B23&gt;=Milestones!B14,Milestones!C14,0)+IF(B23&gt;=Milestones!B15,Milestones!C15,0)+IF(B23&gt;=Milestones!B16,Milestones!C16,0)+IF(B23&gt;=Milestones!B17,Milestones!C17,0)+IF(B23&gt;=Milestones!B18,Milestones!C18,0)+IF(B23&gt;=Milestones!B19,Milestones!C19,0)+IF(B23&gt;=Milestones!B20,Milestones!C20,0)+IF(B23&gt;=Milestones!B21,Milestones!C21,0)+IF(B23&gt;=Milestones!B22,Milestones!C22,0)+IF(B23&gt;=Milestones!B23,Milestones!C23,0)+IF(B23&gt;=Milestones!B24,Milestones!C24,0)+IF(B23&gt;=Milestones!B25,Milestones!C25,0)+IF(B23&gt;=Milestones!B26,Milestones!C26,0))</f>
        <v>3950</v>
      </c>
      <c r="K23" s="5">
        <f t="shared" si="2"/>
        <v>5275.9259259259325</v>
      </c>
      <c r="L23" s="7">
        <f>F23/'Perfect P&amp;L'!C26</f>
        <v>0.98901925925925982</v>
      </c>
    </row>
    <row r="24" spans="1:12" x14ac:dyDescent="0.2">
      <c r="A24" s="2">
        <v>18</v>
      </c>
      <c r="B24" s="3">
        <f t="shared" si="3"/>
        <v>32.000000000000021</v>
      </c>
      <c r="C24" s="4">
        <f>IF(18&lt;='Sales Funnel'!C15,'Sales Funnel'!C18,0)</f>
        <v>0.66666666666666663</v>
      </c>
      <c r="D24" s="5">
        <f>IF(18&lt;='Sales Funnel'!C15,('Current State'!C8*(1-MIN(18,'Sales Funnel'!C15)/'Sales Funnel'!C15))+('Target State'!C8*MIN(18,'Sales Funnel'!C15)/'Sales Funnel'!C15),'Target State'!C8)</f>
        <v>300</v>
      </c>
      <c r="E24" s="5">
        <f t="shared" si="0"/>
        <v>9600.0000000000073</v>
      </c>
      <c r="F24" s="5">
        <f t="shared" si="1"/>
        <v>115200.00000000009</v>
      </c>
      <c r="G24" s="4">
        <f>IF(18&lt;='Sales Funnel'!C15,'Sales Funnel'!C25,0)</f>
        <v>4.0404040404040398</v>
      </c>
      <c r="H24" s="4">
        <f>IF(18&lt;='Sales Funnel'!C15,'Sales Funnel'!C23,0)</f>
        <v>1.3333333333333333</v>
      </c>
      <c r="I24" s="6" t="str">
        <f>IF(AND(B24&gt;=Milestones!B26,Milestones!A26&lt;&gt;""),Milestones!A26,IF(AND(B24&gt;=Milestones!B25,Milestones!A25&lt;&gt;""),Milestones!A25,IF(AND(B24&gt;=Milestones!B24,Milestones!A24&lt;&gt;""),Milestones!A24,IF(AND(B24&gt;=Milestones!B23,Milestones!A23&lt;&gt;""),Milestones!A23,IF(AND(B24&gt;=Milestones!B22,Milestones!A22&lt;&gt;""),Milestones!A22,IF(AND(B24&gt;=Milestones!B21,Milestones!A21&lt;&gt;""),Milestones!A21,IF(AND(B24&gt;=Milestones!B20,Milestones!A20&lt;&gt;""),Milestones!A20,IF(AND(B24&gt;=Milestones!B19,Milestones!A19&lt;&gt;""),Milestones!A19,IF(AND(B24&gt;=Milestones!B18,Milestones!A18&lt;&gt;""),Milestones!A18,IF(AND(B24&gt;=Milestones!B17,Milestones!A17&lt;&gt;""),Milestones!A17,IF(AND(B24&gt;=Milestones!B16,Milestones!A16&lt;&gt;""),Milestones!A16,IF(AND(B24&gt;=Milestones!B15,Milestones!A15&lt;&gt;""),Milestones!A15,IF(AND(B24&gt;=Milestones!B14,Milestones!A14&lt;&gt;""),Milestones!A14,IF(AND(B24&gt;=Milestones!B13,Milestones!A13&lt;&gt;""),Milestones!A13,IF(AND(B24&gt;=Milestones!B12,Milestones!A12&lt;&gt;""),Milestones!A12,IF(AND(B24&gt;=Milestones!B11,Milestones!A11&lt;&gt;""),Milestones!A11,IF(AND(B24&gt;=Milestones!B10,Milestones!A10&lt;&gt;""),Milestones!A10,IF(AND(B24&gt;=Milestones!B9,Milestones!A9&lt;&gt;""),Milestones!A9,IF(AND(B24&gt;=Milestones!B8,Milestones!A8&lt;&gt;""),Milestones!A8,IF(AND(B24&gt;=Milestones!B7,Milestones!A7&lt;&gt;""),Milestones!A7,"-"))))))))))))))))))))</f>
        <v>Advanced software tools</v>
      </c>
      <c r="J24" s="5">
        <f>(IF(B24&gt;=Milestones!B7,Milestones!C7,0)+IF(B24&gt;=Milestones!B8,Milestones!C8,0)+IF(B24&gt;=Milestones!B9,Milestones!C9,0)+IF(B24&gt;=Milestones!B10,Milestones!C10,0)+IF(B24&gt;=Milestones!B11,Milestones!C11,0)+IF(B24&gt;=Milestones!B12,Milestones!C12,0)+IF(B24&gt;=Milestones!B13,Milestones!C13,0)+IF(B24&gt;=Milestones!B14,Milestones!C14,0)+IF(B24&gt;=Milestones!B15,Milestones!C15,0)+IF(B24&gt;=Milestones!B16,Milestones!C16,0)+IF(B24&gt;=Milestones!B17,Milestones!C17,0)+IF(B24&gt;=Milestones!B18,Milestones!C18,0)+IF(B24&gt;=Milestones!B19,Milestones!C19,0)+IF(B24&gt;=Milestones!B20,Milestones!C20,0)+IF(B24&gt;=Milestones!B21,Milestones!C21,0)+IF(B24&gt;=Milestones!B22,Milestones!C22,0)+IF(B24&gt;=Milestones!B23,Milestones!C23,0)+IF(B24&gt;=Milestones!B24,Milestones!C24,0)+IF(B24&gt;=Milestones!B25,Milestones!C25,0)+IF(B24&gt;=Milestones!B26,Milestones!C26,0))</f>
        <v>3950</v>
      </c>
      <c r="K24" s="5">
        <f t="shared" si="2"/>
        <v>5650.0000000000073</v>
      </c>
      <c r="L24" s="7">
        <f>F24/'Perfect P&amp;L'!C26</f>
        <v>1.0291200000000007</v>
      </c>
    </row>
    <row r="25" spans="1:12" x14ac:dyDescent="0.2">
      <c r="A25" s="2">
        <v>19</v>
      </c>
      <c r="B25" s="3">
        <f t="shared" si="3"/>
        <v>32.000000000000021</v>
      </c>
      <c r="C25" s="4">
        <f>IF(19&lt;='Sales Funnel'!C15,'Sales Funnel'!C18,0)</f>
        <v>0</v>
      </c>
      <c r="D25" s="5">
        <f>IF(19&lt;='Sales Funnel'!C15,('Current State'!C8*(1-MIN(19,'Sales Funnel'!C15)/'Sales Funnel'!C15))+('Target State'!C8*MIN(19,'Sales Funnel'!C15)/'Sales Funnel'!C15),'Target State'!C8)</f>
        <v>300</v>
      </c>
      <c r="E25" s="5">
        <f t="shared" si="0"/>
        <v>9600.0000000000073</v>
      </c>
      <c r="F25" s="5">
        <f t="shared" si="1"/>
        <v>115200.00000000009</v>
      </c>
      <c r="G25" s="4">
        <f>IF(19&lt;='Sales Funnel'!C15,'Sales Funnel'!C25,0)</f>
        <v>0</v>
      </c>
      <c r="H25" s="4">
        <f>IF(19&lt;='Sales Funnel'!C15,'Sales Funnel'!C23,0)</f>
        <v>0</v>
      </c>
      <c r="I25" s="6" t="str">
        <f>IF(AND(B25&gt;=Milestones!B26,Milestones!A26&lt;&gt;""),Milestones!A26,IF(AND(B25&gt;=Milestones!B25,Milestones!A25&lt;&gt;""),Milestones!A25,IF(AND(B25&gt;=Milestones!B24,Milestones!A24&lt;&gt;""),Milestones!A24,IF(AND(B25&gt;=Milestones!B23,Milestones!A23&lt;&gt;""),Milestones!A23,IF(AND(B25&gt;=Milestones!B22,Milestones!A22&lt;&gt;""),Milestones!A22,IF(AND(B25&gt;=Milestones!B21,Milestones!A21&lt;&gt;""),Milestones!A21,IF(AND(B25&gt;=Milestones!B20,Milestones!A20&lt;&gt;""),Milestones!A20,IF(AND(B25&gt;=Milestones!B19,Milestones!A19&lt;&gt;""),Milestones!A19,IF(AND(B25&gt;=Milestones!B18,Milestones!A18&lt;&gt;""),Milestones!A18,IF(AND(B25&gt;=Milestones!B17,Milestones!A17&lt;&gt;""),Milestones!A17,IF(AND(B25&gt;=Milestones!B16,Milestones!A16&lt;&gt;""),Milestones!A16,IF(AND(B25&gt;=Milestones!B15,Milestones!A15&lt;&gt;""),Milestones!A15,IF(AND(B25&gt;=Milestones!B14,Milestones!A14&lt;&gt;""),Milestones!A14,IF(AND(B25&gt;=Milestones!B13,Milestones!A13&lt;&gt;""),Milestones!A13,IF(AND(B25&gt;=Milestones!B12,Milestones!A12&lt;&gt;""),Milestones!A12,IF(AND(B25&gt;=Milestones!B11,Milestones!A11&lt;&gt;""),Milestones!A11,IF(AND(B25&gt;=Milestones!B10,Milestones!A10&lt;&gt;""),Milestones!A10,IF(AND(B25&gt;=Milestones!B9,Milestones!A9&lt;&gt;""),Milestones!A9,IF(AND(B25&gt;=Milestones!B8,Milestones!A8&lt;&gt;""),Milestones!A8,IF(AND(B25&gt;=Milestones!B7,Milestones!A7&lt;&gt;""),Milestones!A7,"-"))))))))))))))))))))</f>
        <v>Advanced software tools</v>
      </c>
      <c r="J25" s="5">
        <f>(IF(B25&gt;=Milestones!B7,Milestones!C7,0)+IF(B25&gt;=Milestones!B8,Milestones!C8,0)+IF(B25&gt;=Milestones!B9,Milestones!C9,0)+IF(B25&gt;=Milestones!B10,Milestones!C10,0)+IF(B25&gt;=Milestones!B11,Milestones!C11,0)+IF(B25&gt;=Milestones!B12,Milestones!C12,0)+IF(B25&gt;=Milestones!B13,Milestones!C13,0)+IF(B25&gt;=Milestones!B14,Milestones!C14,0)+IF(B25&gt;=Milestones!B15,Milestones!C15,0)+IF(B25&gt;=Milestones!B16,Milestones!C16,0)+IF(B25&gt;=Milestones!B17,Milestones!C17,0)+IF(B25&gt;=Milestones!B18,Milestones!C18,0)+IF(B25&gt;=Milestones!B19,Milestones!C19,0)+IF(B25&gt;=Milestones!B20,Milestones!C20,0)+IF(B25&gt;=Milestones!B21,Milestones!C21,0)+IF(B25&gt;=Milestones!B22,Milestones!C22,0)+IF(B25&gt;=Milestones!B23,Milestones!C23,0)+IF(B25&gt;=Milestones!B24,Milestones!C24,0)+IF(B25&gt;=Milestones!B25,Milestones!C25,0)+IF(B25&gt;=Milestones!B26,Milestones!C26,0))</f>
        <v>3950</v>
      </c>
      <c r="K25" s="5">
        <f t="shared" si="2"/>
        <v>5650.0000000000073</v>
      </c>
      <c r="L25" s="7">
        <f>F25/'Perfect P&amp;L'!C26</f>
        <v>1.0291200000000007</v>
      </c>
    </row>
    <row r="26" spans="1:12" x14ac:dyDescent="0.2">
      <c r="A26" s="2">
        <v>20</v>
      </c>
      <c r="B26" s="3">
        <f t="shared" si="3"/>
        <v>32.000000000000021</v>
      </c>
      <c r="C26" s="4">
        <f>IF(20&lt;='Sales Funnel'!C15,'Sales Funnel'!C18,0)</f>
        <v>0</v>
      </c>
      <c r="D26" s="5">
        <f>IF(20&lt;='Sales Funnel'!C15,('Current State'!C8*(1-MIN(20,'Sales Funnel'!C15)/'Sales Funnel'!C15))+('Target State'!C8*MIN(20,'Sales Funnel'!C15)/'Sales Funnel'!C15),'Target State'!C8)</f>
        <v>300</v>
      </c>
      <c r="E26" s="5">
        <f t="shared" si="0"/>
        <v>9600.0000000000073</v>
      </c>
      <c r="F26" s="5">
        <f t="shared" si="1"/>
        <v>115200.00000000009</v>
      </c>
      <c r="G26" s="4">
        <f>IF(20&lt;='Sales Funnel'!C15,'Sales Funnel'!C25,0)</f>
        <v>0</v>
      </c>
      <c r="H26" s="4">
        <f>IF(20&lt;='Sales Funnel'!C15,'Sales Funnel'!C23,0)</f>
        <v>0</v>
      </c>
      <c r="I26" s="6" t="str">
        <f>IF(AND(B26&gt;=Milestones!B26,Milestones!A26&lt;&gt;""),Milestones!A26,IF(AND(B26&gt;=Milestones!B25,Milestones!A25&lt;&gt;""),Milestones!A25,IF(AND(B26&gt;=Milestones!B24,Milestones!A24&lt;&gt;""),Milestones!A24,IF(AND(B26&gt;=Milestones!B23,Milestones!A23&lt;&gt;""),Milestones!A23,IF(AND(B26&gt;=Milestones!B22,Milestones!A22&lt;&gt;""),Milestones!A22,IF(AND(B26&gt;=Milestones!B21,Milestones!A21&lt;&gt;""),Milestones!A21,IF(AND(B26&gt;=Milestones!B20,Milestones!A20&lt;&gt;""),Milestones!A20,IF(AND(B26&gt;=Milestones!B19,Milestones!A19&lt;&gt;""),Milestones!A19,IF(AND(B26&gt;=Milestones!B18,Milestones!A18&lt;&gt;""),Milestones!A18,IF(AND(B26&gt;=Milestones!B17,Milestones!A17&lt;&gt;""),Milestones!A17,IF(AND(B26&gt;=Milestones!B16,Milestones!A16&lt;&gt;""),Milestones!A16,IF(AND(B26&gt;=Milestones!B15,Milestones!A15&lt;&gt;""),Milestones!A15,IF(AND(B26&gt;=Milestones!B14,Milestones!A14&lt;&gt;""),Milestones!A14,IF(AND(B26&gt;=Milestones!B13,Milestones!A13&lt;&gt;""),Milestones!A13,IF(AND(B26&gt;=Milestones!B12,Milestones!A12&lt;&gt;""),Milestones!A12,IF(AND(B26&gt;=Milestones!B11,Milestones!A11&lt;&gt;""),Milestones!A11,IF(AND(B26&gt;=Milestones!B10,Milestones!A10&lt;&gt;""),Milestones!A10,IF(AND(B26&gt;=Milestones!B9,Milestones!A9&lt;&gt;""),Milestones!A9,IF(AND(B26&gt;=Milestones!B8,Milestones!A8&lt;&gt;""),Milestones!A8,IF(AND(B26&gt;=Milestones!B7,Milestones!A7&lt;&gt;""),Milestones!A7,"-"))))))))))))))))))))</f>
        <v>Advanced software tools</v>
      </c>
      <c r="J26" s="5">
        <f>(IF(B26&gt;=Milestones!B7,Milestones!C7,0)+IF(B26&gt;=Milestones!B8,Milestones!C8,0)+IF(B26&gt;=Milestones!B9,Milestones!C9,0)+IF(B26&gt;=Milestones!B10,Milestones!C10,0)+IF(B26&gt;=Milestones!B11,Milestones!C11,0)+IF(B26&gt;=Milestones!B12,Milestones!C12,0)+IF(B26&gt;=Milestones!B13,Milestones!C13,0)+IF(B26&gt;=Milestones!B14,Milestones!C14,0)+IF(B26&gt;=Milestones!B15,Milestones!C15,0)+IF(B26&gt;=Milestones!B16,Milestones!C16,0)+IF(B26&gt;=Milestones!B17,Milestones!C17,0)+IF(B26&gt;=Milestones!B18,Milestones!C18,0)+IF(B26&gt;=Milestones!B19,Milestones!C19,0)+IF(B26&gt;=Milestones!B20,Milestones!C20,0)+IF(B26&gt;=Milestones!B21,Milestones!C21,0)+IF(B26&gt;=Milestones!B22,Milestones!C22,0)+IF(B26&gt;=Milestones!B23,Milestones!C23,0)+IF(B26&gt;=Milestones!B24,Milestones!C24,0)+IF(B26&gt;=Milestones!B25,Milestones!C25,0)+IF(B26&gt;=Milestones!B26,Milestones!C26,0))</f>
        <v>3950</v>
      </c>
      <c r="K26" s="5">
        <f t="shared" si="2"/>
        <v>5650.0000000000073</v>
      </c>
      <c r="L26" s="7">
        <f>F26/'Perfect P&amp;L'!C26</f>
        <v>1.0291200000000007</v>
      </c>
    </row>
    <row r="27" spans="1:12" x14ac:dyDescent="0.2">
      <c r="A27" s="2">
        <v>21</v>
      </c>
      <c r="B27" s="3">
        <f t="shared" si="3"/>
        <v>32.000000000000021</v>
      </c>
      <c r="C27" s="4">
        <f>IF(21&lt;='Sales Funnel'!C15,'Sales Funnel'!C18,0)</f>
        <v>0</v>
      </c>
      <c r="D27" s="5">
        <f>IF(21&lt;='Sales Funnel'!C15,('Current State'!C8*(1-MIN(21,'Sales Funnel'!C15)/'Sales Funnel'!C15))+('Target State'!C8*MIN(21,'Sales Funnel'!C15)/'Sales Funnel'!C15),'Target State'!C8)</f>
        <v>300</v>
      </c>
      <c r="E27" s="5">
        <f t="shared" si="0"/>
        <v>9600.0000000000073</v>
      </c>
      <c r="F27" s="5">
        <f t="shared" si="1"/>
        <v>115200.00000000009</v>
      </c>
      <c r="G27" s="4">
        <f>IF(21&lt;='Sales Funnel'!C15,'Sales Funnel'!C25,0)</f>
        <v>0</v>
      </c>
      <c r="H27" s="4">
        <f>IF(21&lt;='Sales Funnel'!C15,'Sales Funnel'!C23,0)</f>
        <v>0</v>
      </c>
      <c r="I27" s="6" t="str">
        <f>IF(AND(B27&gt;=Milestones!B26,Milestones!A26&lt;&gt;""),Milestones!A26,IF(AND(B27&gt;=Milestones!B25,Milestones!A25&lt;&gt;""),Milestones!A25,IF(AND(B27&gt;=Milestones!B24,Milestones!A24&lt;&gt;""),Milestones!A24,IF(AND(B27&gt;=Milestones!B23,Milestones!A23&lt;&gt;""),Milestones!A23,IF(AND(B27&gt;=Milestones!B22,Milestones!A22&lt;&gt;""),Milestones!A22,IF(AND(B27&gt;=Milestones!B21,Milestones!A21&lt;&gt;""),Milestones!A21,IF(AND(B27&gt;=Milestones!B20,Milestones!A20&lt;&gt;""),Milestones!A20,IF(AND(B27&gt;=Milestones!B19,Milestones!A19&lt;&gt;""),Milestones!A19,IF(AND(B27&gt;=Milestones!B18,Milestones!A18&lt;&gt;""),Milestones!A18,IF(AND(B27&gt;=Milestones!B17,Milestones!A17&lt;&gt;""),Milestones!A17,IF(AND(B27&gt;=Milestones!B16,Milestones!A16&lt;&gt;""),Milestones!A16,IF(AND(B27&gt;=Milestones!B15,Milestones!A15&lt;&gt;""),Milestones!A15,IF(AND(B27&gt;=Milestones!B14,Milestones!A14&lt;&gt;""),Milestones!A14,IF(AND(B27&gt;=Milestones!B13,Milestones!A13&lt;&gt;""),Milestones!A13,IF(AND(B27&gt;=Milestones!B12,Milestones!A12&lt;&gt;""),Milestones!A12,IF(AND(B27&gt;=Milestones!B11,Milestones!A11&lt;&gt;""),Milestones!A11,IF(AND(B27&gt;=Milestones!B10,Milestones!A10&lt;&gt;""),Milestones!A10,IF(AND(B27&gt;=Milestones!B9,Milestones!A9&lt;&gt;""),Milestones!A9,IF(AND(B27&gt;=Milestones!B8,Milestones!A8&lt;&gt;""),Milestones!A8,IF(AND(B27&gt;=Milestones!B7,Milestones!A7&lt;&gt;""),Milestones!A7,"-"))))))))))))))))))))</f>
        <v>Advanced software tools</v>
      </c>
      <c r="J27" s="5">
        <f>(IF(B27&gt;=Milestones!B7,Milestones!C7,0)+IF(B27&gt;=Milestones!B8,Milestones!C8,0)+IF(B27&gt;=Milestones!B9,Milestones!C9,0)+IF(B27&gt;=Milestones!B10,Milestones!C10,0)+IF(B27&gt;=Milestones!B11,Milestones!C11,0)+IF(B27&gt;=Milestones!B12,Milestones!C12,0)+IF(B27&gt;=Milestones!B13,Milestones!C13,0)+IF(B27&gt;=Milestones!B14,Milestones!C14,0)+IF(B27&gt;=Milestones!B15,Milestones!C15,0)+IF(B27&gt;=Milestones!B16,Milestones!C16,0)+IF(B27&gt;=Milestones!B17,Milestones!C17,0)+IF(B27&gt;=Milestones!B18,Milestones!C18,0)+IF(B27&gt;=Milestones!B19,Milestones!C19,0)+IF(B27&gt;=Milestones!B20,Milestones!C20,0)+IF(B27&gt;=Milestones!B21,Milestones!C21,0)+IF(B27&gt;=Milestones!B22,Milestones!C22,0)+IF(B27&gt;=Milestones!B23,Milestones!C23,0)+IF(B27&gt;=Milestones!B24,Milestones!C24,0)+IF(B27&gt;=Milestones!B25,Milestones!C25,0)+IF(B27&gt;=Milestones!B26,Milestones!C26,0))</f>
        <v>3950</v>
      </c>
      <c r="K27" s="5">
        <f t="shared" si="2"/>
        <v>5650.0000000000073</v>
      </c>
      <c r="L27" s="7">
        <f>F27/'Perfect P&amp;L'!C26</f>
        <v>1.0291200000000007</v>
      </c>
    </row>
    <row r="28" spans="1:12" x14ac:dyDescent="0.2">
      <c r="A28" s="2">
        <v>22</v>
      </c>
      <c r="B28" s="3">
        <f t="shared" si="3"/>
        <v>32.000000000000021</v>
      </c>
      <c r="C28" s="4">
        <f>IF(22&lt;='Sales Funnel'!C15,'Sales Funnel'!C18,0)</f>
        <v>0</v>
      </c>
      <c r="D28" s="5">
        <f>IF(22&lt;='Sales Funnel'!C15,('Current State'!C8*(1-MIN(22,'Sales Funnel'!C15)/'Sales Funnel'!C15))+('Target State'!C8*MIN(22,'Sales Funnel'!C15)/'Sales Funnel'!C15),'Target State'!C8)</f>
        <v>300</v>
      </c>
      <c r="E28" s="5">
        <f t="shared" si="0"/>
        <v>9600.0000000000073</v>
      </c>
      <c r="F28" s="5">
        <f t="shared" si="1"/>
        <v>115200.00000000009</v>
      </c>
      <c r="G28" s="4">
        <f>IF(22&lt;='Sales Funnel'!C15,'Sales Funnel'!C25,0)</f>
        <v>0</v>
      </c>
      <c r="H28" s="4">
        <f>IF(22&lt;='Sales Funnel'!C15,'Sales Funnel'!C23,0)</f>
        <v>0</v>
      </c>
      <c r="I28" s="6" t="str">
        <f>IF(AND(B28&gt;=Milestones!B26,Milestones!A26&lt;&gt;""),Milestones!A26,IF(AND(B28&gt;=Milestones!B25,Milestones!A25&lt;&gt;""),Milestones!A25,IF(AND(B28&gt;=Milestones!B24,Milestones!A24&lt;&gt;""),Milestones!A24,IF(AND(B28&gt;=Milestones!B23,Milestones!A23&lt;&gt;""),Milestones!A23,IF(AND(B28&gt;=Milestones!B22,Milestones!A22&lt;&gt;""),Milestones!A22,IF(AND(B28&gt;=Milestones!B21,Milestones!A21&lt;&gt;""),Milestones!A21,IF(AND(B28&gt;=Milestones!B20,Milestones!A20&lt;&gt;""),Milestones!A20,IF(AND(B28&gt;=Milestones!B19,Milestones!A19&lt;&gt;""),Milestones!A19,IF(AND(B28&gt;=Milestones!B18,Milestones!A18&lt;&gt;""),Milestones!A18,IF(AND(B28&gt;=Milestones!B17,Milestones!A17&lt;&gt;""),Milestones!A17,IF(AND(B28&gt;=Milestones!B16,Milestones!A16&lt;&gt;""),Milestones!A16,IF(AND(B28&gt;=Milestones!B15,Milestones!A15&lt;&gt;""),Milestones!A15,IF(AND(B28&gt;=Milestones!B14,Milestones!A14&lt;&gt;""),Milestones!A14,IF(AND(B28&gt;=Milestones!B13,Milestones!A13&lt;&gt;""),Milestones!A13,IF(AND(B28&gt;=Milestones!B12,Milestones!A12&lt;&gt;""),Milestones!A12,IF(AND(B28&gt;=Milestones!B11,Milestones!A11&lt;&gt;""),Milestones!A11,IF(AND(B28&gt;=Milestones!B10,Milestones!A10&lt;&gt;""),Milestones!A10,IF(AND(B28&gt;=Milestones!B9,Milestones!A9&lt;&gt;""),Milestones!A9,IF(AND(B28&gt;=Milestones!B8,Milestones!A8&lt;&gt;""),Milestones!A8,IF(AND(B28&gt;=Milestones!B7,Milestones!A7&lt;&gt;""),Milestones!A7,"-"))))))))))))))))))))</f>
        <v>Advanced software tools</v>
      </c>
      <c r="J28" s="5">
        <f>(IF(B28&gt;=Milestones!B7,Milestones!C7,0)+IF(B28&gt;=Milestones!B8,Milestones!C8,0)+IF(B28&gt;=Milestones!B9,Milestones!C9,0)+IF(B28&gt;=Milestones!B10,Milestones!C10,0)+IF(B28&gt;=Milestones!B11,Milestones!C11,0)+IF(B28&gt;=Milestones!B12,Milestones!C12,0)+IF(B28&gt;=Milestones!B13,Milestones!C13,0)+IF(B28&gt;=Milestones!B14,Milestones!C14,0)+IF(B28&gt;=Milestones!B15,Milestones!C15,0)+IF(B28&gt;=Milestones!B16,Milestones!C16,0)+IF(B28&gt;=Milestones!B17,Milestones!C17,0)+IF(B28&gt;=Milestones!B18,Milestones!C18,0)+IF(B28&gt;=Milestones!B19,Milestones!C19,0)+IF(B28&gt;=Milestones!B20,Milestones!C20,0)+IF(B28&gt;=Milestones!B21,Milestones!C21,0)+IF(B28&gt;=Milestones!B22,Milestones!C22,0)+IF(B28&gt;=Milestones!B23,Milestones!C23,0)+IF(B28&gt;=Milestones!B24,Milestones!C24,0)+IF(B28&gt;=Milestones!B25,Milestones!C25,0)+IF(B28&gt;=Milestones!B26,Milestones!C26,0))</f>
        <v>3950</v>
      </c>
      <c r="K28" s="5">
        <f t="shared" si="2"/>
        <v>5650.0000000000073</v>
      </c>
      <c r="L28" s="7">
        <f>F28/'Perfect P&amp;L'!C26</f>
        <v>1.0291200000000007</v>
      </c>
    </row>
    <row r="29" spans="1:12" x14ac:dyDescent="0.2">
      <c r="A29" s="2">
        <v>23</v>
      </c>
      <c r="B29" s="3">
        <f t="shared" si="3"/>
        <v>32.000000000000021</v>
      </c>
      <c r="C29" s="4">
        <f>IF(23&lt;='Sales Funnel'!C15,'Sales Funnel'!C18,0)</f>
        <v>0</v>
      </c>
      <c r="D29" s="5">
        <f>IF(23&lt;='Sales Funnel'!C15,('Current State'!C8*(1-MIN(23,'Sales Funnel'!C15)/'Sales Funnel'!C15))+('Target State'!C8*MIN(23,'Sales Funnel'!C15)/'Sales Funnel'!C15),'Target State'!C8)</f>
        <v>300</v>
      </c>
      <c r="E29" s="5">
        <f t="shared" si="0"/>
        <v>9600.0000000000073</v>
      </c>
      <c r="F29" s="5">
        <f t="shared" si="1"/>
        <v>115200.00000000009</v>
      </c>
      <c r="G29" s="4">
        <f>IF(23&lt;='Sales Funnel'!C15,'Sales Funnel'!C25,0)</f>
        <v>0</v>
      </c>
      <c r="H29" s="4">
        <f>IF(23&lt;='Sales Funnel'!C15,'Sales Funnel'!C23,0)</f>
        <v>0</v>
      </c>
      <c r="I29" s="6" t="str">
        <f>IF(AND(B29&gt;=Milestones!B26,Milestones!A26&lt;&gt;""),Milestones!A26,IF(AND(B29&gt;=Milestones!B25,Milestones!A25&lt;&gt;""),Milestones!A25,IF(AND(B29&gt;=Milestones!B24,Milestones!A24&lt;&gt;""),Milestones!A24,IF(AND(B29&gt;=Milestones!B23,Milestones!A23&lt;&gt;""),Milestones!A23,IF(AND(B29&gt;=Milestones!B22,Milestones!A22&lt;&gt;""),Milestones!A22,IF(AND(B29&gt;=Milestones!B21,Milestones!A21&lt;&gt;""),Milestones!A21,IF(AND(B29&gt;=Milestones!B20,Milestones!A20&lt;&gt;""),Milestones!A20,IF(AND(B29&gt;=Milestones!B19,Milestones!A19&lt;&gt;""),Milestones!A19,IF(AND(B29&gt;=Milestones!B18,Milestones!A18&lt;&gt;""),Milestones!A18,IF(AND(B29&gt;=Milestones!B17,Milestones!A17&lt;&gt;""),Milestones!A17,IF(AND(B29&gt;=Milestones!B16,Milestones!A16&lt;&gt;""),Milestones!A16,IF(AND(B29&gt;=Milestones!B15,Milestones!A15&lt;&gt;""),Milestones!A15,IF(AND(B29&gt;=Milestones!B14,Milestones!A14&lt;&gt;""),Milestones!A14,IF(AND(B29&gt;=Milestones!B13,Milestones!A13&lt;&gt;""),Milestones!A13,IF(AND(B29&gt;=Milestones!B12,Milestones!A12&lt;&gt;""),Milestones!A12,IF(AND(B29&gt;=Milestones!B11,Milestones!A11&lt;&gt;""),Milestones!A11,IF(AND(B29&gt;=Milestones!B10,Milestones!A10&lt;&gt;""),Milestones!A10,IF(AND(B29&gt;=Milestones!B9,Milestones!A9&lt;&gt;""),Milestones!A9,IF(AND(B29&gt;=Milestones!B8,Milestones!A8&lt;&gt;""),Milestones!A8,IF(AND(B29&gt;=Milestones!B7,Milestones!A7&lt;&gt;""),Milestones!A7,"-"))))))))))))))))))))</f>
        <v>Advanced software tools</v>
      </c>
      <c r="J29" s="5">
        <f>(IF(B29&gt;=Milestones!B7,Milestones!C7,0)+IF(B29&gt;=Milestones!B8,Milestones!C8,0)+IF(B29&gt;=Milestones!B9,Milestones!C9,0)+IF(B29&gt;=Milestones!B10,Milestones!C10,0)+IF(B29&gt;=Milestones!B11,Milestones!C11,0)+IF(B29&gt;=Milestones!B12,Milestones!C12,0)+IF(B29&gt;=Milestones!B13,Milestones!C13,0)+IF(B29&gt;=Milestones!B14,Milestones!C14,0)+IF(B29&gt;=Milestones!B15,Milestones!C15,0)+IF(B29&gt;=Milestones!B16,Milestones!C16,0)+IF(B29&gt;=Milestones!B17,Milestones!C17,0)+IF(B29&gt;=Milestones!B18,Milestones!C18,0)+IF(B29&gt;=Milestones!B19,Milestones!C19,0)+IF(B29&gt;=Milestones!B20,Milestones!C20,0)+IF(B29&gt;=Milestones!B21,Milestones!C21,0)+IF(B29&gt;=Milestones!B22,Milestones!C22,0)+IF(B29&gt;=Milestones!B23,Milestones!C23,0)+IF(B29&gt;=Milestones!B24,Milestones!C24,0)+IF(B29&gt;=Milestones!B25,Milestones!C25,0)+IF(B29&gt;=Milestones!B26,Milestones!C26,0))</f>
        <v>3950</v>
      </c>
      <c r="K29" s="5">
        <f t="shared" si="2"/>
        <v>5650.0000000000073</v>
      </c>
      <c r="L29" s="7">
        <f>F29/'Perfect P&amp;L'!C26</f>
        <v>1.0291200000000007</v>
      </c>
    </row>
    <row r="30" spans="1:12" x14ac:dyDescent="0.2">
      <c r="A30" s="2">
        <v>24</v>
      </c>
      <c r="B30" s="3">
        <f t="shared" si="3"/>
        <v>32.000000000000021</v>
      </c>
      <c r="C30" s="4">
        <f>IF(24&lt;='Sales Funnel'!C15,'Sales Funnel'!C18,0)</f>
        <v>0</v>
      </c>
      <c r="D30" s="5">
        <f>IF(24&lt;='Sales Funnel'!C15,('Current State'!C8*(1-MIN(24,'Sales Funnel'!C15)/'Sales Funnel'!C15))+('Target State'!C8*MIN(24,'Sales Funnel'!C15)/'Sales Funnel'!C15),'Target State'!C8)</f>
        <v>300</v>
      </c>
      <c r="E30" s="5">
        <f t="shared" si="0"/>
        <v>9600.0000000000073</v>
      </c>
      <c r="F30" s="5">
        <f t="shared" si="1"/>
        <v>115200.00000000009</v>
      </c>
      <c r="G30" s="4">
        <f>IF(24&lt;='Sales Funnel'!C15,'Sales Funnel'!C25,0)</f>
        <v>0</v>
      </c>
      <c r="H30" s="4">
        <f>IF(24&lt;='Sales Funnel'!C15,'Sales Funnel'!C23,0)</f>
        <v>0</v>
      </c>
      <c r="I30" s="6" t="str">
        <f>IF(AND(B30&gt;=Milestones!B26,Milestones!A26&lt;&gt;""),Milestones!A26,IF(AND(B30&gt;=Milestones!B25,Milestones!A25&lt;&gt;""),Milestones!A25,IF(AND(B30&gt;=Milestones!B24,Milestones!A24&lt;&gt;""),Milestones!A24,IF(AND(B30&gt;=Milestones!B23,Milestones!A23&lt;&gt;""),Milestones!A23,IF(AND(B30&gt;=Milestones!B22,Milestones!A22&lt;&gt;""),Milestones!A22,IF(AND(B30&gt;=Milestones!B21,Milestones!A21&lt;&gt;""),Milestones!A21,IF(AND(B30&gt;=Milestones!B20,Milestones!A20&lt;&gt;""),Milestones!A20,IF(AND(B30&gt;=Milestones!B19,Milestones!A19&lt;&gt;""),Milestones!A19,IF(AND(B30&gt;=Milestones!B18,Milestones!A18&lt;&gt;""),Milestones!A18,IF(AND(B30&gt;=Milestones!B17,Milestones!A17&lt;&gt;""),Milestones!A17,IF(AND(B30&gt;=Milestones!B16,Milestones!A16&lt;&gt;""),Milestones!A16,IF(AND(B30&gt;=Milestones!B15,Milestones!A15&lt;&gt;""),Milestones!A15,IF(AND(B30&gt;=Milestones!B14,Milestones!A14&lt;&gt;""),Milestones!A14,IF(AND(B30&gt;=Milestones!B13,Milestones!A13&lt;&gt;""),Milestones!A13,IF(AND(B30&gt;=Milestones!B12,Milestones!A12&lt;&gt;""),Milestones!A12,IF(AND(B30&gt;=Milestones!B11,Milestones!A11&lt;&gt;""),Milestones!A11,IF(AND(B30&gt;=Milestones!B10,Milestones!A10&lt;&gt;""),Milestones!A10,IF(AND(B30&gt;=Milestones!B9,Milestones!A9&lt;&gt;""),Milestones!A9,IF(AND(B30&gt;=Milestones!B8,Milestones!A8&lt;&gt;""),Milestones!A8,IF(AND(B30&gt;=Milestones!B7,Milestones!A7&lt;&gt;""),Milestones!A7,"-"))))))))))))))))))))</f>
        <v>Advanced software tools</v>
      </c>
      <c r="J30" s="5">
        <f>(IF(B30&gt;=Milestones!B7,Milestones!C7,0)+IF(B30&gt;=Milestones!B8,Milestones!C8,0)+IF(B30&gt;=Milestones!B9,Milestones!C9,0)+IF(B30&gt;=Milestones!B10,Milestones!C10,0)+IF(B30&gt;=Milestones!B11,Milestones!C11,0)+IF(B30&gt;=Milestones!B12,Milestones!C12,0)+IF(B30&gt;=Milestones!B13,Milestones!C13,0)+IF(B30&gt;=Milestones!B14,Milestones!C14,0)+IF(B30&gt;=Milestones!B15,Milestones!C15,0)+IF(B30&gt;=Milestones!B16,Milestones!C16,0)+IF(B30&gt;=Milestones!B17,Milestones!C17,0)+IF(B30&gt;=Milestones!B18,Milestones!C18,0)+IF(B30&gt;=Milestones!B19,Milestones!C19,0)+IF(B30&gt;=Milestones!B20,Milestones!C20,0)+IF(B30&gt;=Milestones!B21,Milestones!C21,0)+IF(B30&gt;=Milestones!B22,Milestones!C22,0)+IF(B30&gt;=Milestones!B23,Milestones!C23,0)+IF(B30&gt;=Milestones!B24,Milestones!C24,0)+IF(B30&gt;=Milestones!B25,Milestones!C25,0)+IF(B30&gt;=Milestones!B26,Milestones!C26,0))</f>
        <v>3950</v>
      </c>
      <c r="K30" s="5">
        <f t="shared" si="2"/>
        <v>5650.0000000000073</v>
      </c>
      <c r="L30" s="7">
        <f>F30/'Perfect P&amp;L'!C26</f>
        <v>1.0291200000000007</v>
      </c>
    </row>
    <row r="31" spans="1:12" x14ac:dyDescent="0.2">
      <c r="A31" s="2">
        <v>25</v>
      </c>
      <c r="B31" s="3">
        <f t="shared" si="3"/>
        <v>32.000000000000021</v>
      </c>
      <c r="C31" s="4">
        <f>IF(25&lt;='Sales Funnel'!C15,'Sales Funnel'!C18,0)</f>
        <v>0</v>
      </c>
      <c r="D31" s="5">
        <f>IF(25&lt;='Sales Funnel'!C15,('Current State'!C8*(1-MIN(25,'Sales Funnel'!C15)/'Sales Funnel'!C15))+('Target State'!C8*MIN(25,'Sales Funnel'!C15)/'Sales Funnel'!C15),'Target State'!C8)</f>
        <v>300</v>
      </c>
      <c r="E31" s="5">
        <f t="shared" si="0"/>
        <v>9600.0000000000073</v>
      </c>
      <c r="F31" s="5">
        <f t="shared" si="1"/>
        <v>115200.00000000009</v>
      </c>
      <c r="G31" s="4">
        <f>IF(25&lt;='Sales Funnel'!C15,'Sales Funnel'!C25,0)</f>
        <v>0</v>
      </c>
      <c r="H31" s="4">
        <f>IF(25&lt;='Sales Funnel'!C15,'Sales Funnel'!C23,0)</f>
        <v>0</v>
      </c>
      <c r="I31" s="6" t="str">
        <f>IF(AND(B31&gt;=Milestones!B26,Milestones!A26&lt;&gt;""),Milestones!A26,IF(AND(B31&gt;=Milestones!B25,Milestones!A25&lt;&gt;""),Milestones!A25,IF(AND(B31&gt;=Milestones!B24,Milestones!A24&lt;&gt;""),Milestones!A24,IF(AND(B31&gt;=Milestones!B23,Milestones!A23&lt;&gt;""),Milestones!A23,IF(AND(B31&gt;=Milestones!B22,Milestones!A22&lt;&gt;""),Milestones!A22,IF(AND(B31&gt;=Milestones!B21,Milestones!A21&lt;&gt;""),Milestones!A21,IF(AND(B31&gt;=Milestones!B20,Milestones!A20&lt;&gt;""),Milestones!A20,IF(AND(B31&gt;=Milestones!B19,Milestones!A19&lt;&gt;""),Milestones!A19,IF(AND(B31&gt;=Milestones!B18,Milestones!A18&lt;&gt;""),Milestones!A18,IF(AND(B31&gt;=Milestones!B17,Milestones!A17&lt;&gt;""),Milestones!A17,IF(AND(B31&gt;=Milestones!B16,Milestones!A16&lt;&gt;""),Milestones!A16,IF(AND(B31&gt;=Milestones!B15,Milestones!A15&lt;&gt;""),Milestones!A15,IF(AND(B31&gt;=Milestones!B14,Milestones!A14&lt;&gt;""),Milestones!A14,IF(AND(B31&gt;=Milestones!B13,Milestones!A13&lt;&gt;""),Milestones!A13,IF(AND(B31&gt;=Milestones!B12,Milestones!A12&lt;&gt;""),Milestones!A12,IF(AND(B31&gt;=Milestones!B11,Milestones!A11&lt;&gt;""),Milestones!A11,IF(AND(B31&gt;=Milestones!B10,Milestones!A10&lt;&gt;""),Milestones!A10,IF(AND(B31&gt;=Milestones!B9,Milestones!A9&lt;&gt;""),Milestones!A9,IF(AND(B31&gt;=Milestones!B8,Milestones!A8&lt;&gt;""),Milestones!A8,IF(AND(B31&gt;=Milestones!B7,Milestones!A7&lt;&gt;""),Milestones!A7,"-"))))))))))))))))))))</f>
        <v>Advanced software tools</v>
      </c>
      <c r="J31" s="5">
        <f>(IF(B31&gt;=Milestones!B7,Milestones!C7,0)+IF(B31&gt;=Milestones!B8,Milestones!C8,0)+IF(B31&gt;=Milestones!B9,Milestones!C9,0)+IF(B31&gt;=Milestones!B10,Milestones!C10,0)+IF(B31&gt;=Milestones!B11,Milestones!C11,0)+IF(B31&gt;=Milestones!B12,Milestones!C12,0)+IF(B31&gt;=Milestones!B13,Milestones!C13,0)+IF(B31&gt;=Milestones!B14,Milestones!C14,0)+IF(B31&gt;=Milestones!B15,Milestones!C15,0)+IF(B31&gt;=Milestones!B16,Milestones!C16,0)+IF(B31&gt;=Milestones!B17,Milestones!C17,0)+IF(B31&gt;=Milestones!B18,Milestones!C18,0)+IF(B31&gt;=Milestones!B19,Milestones!C19,0)+IF(B31&gt;=Milestones!B20,Milestones!C20,0)+IF(B31&gt;=Milestones!B21,Milestones!C21,0)+IF(B31&gt;=Milestones!B22,Milestones!C22,0)+IF(B31&gt;=Milestones!B23,Milestones!C23,0)+IF(B31&gt;=Milestones!B24,Milestones!C24,0)+IF(B31&gt;=Milestones!B25,Milestones!C25,0)+IF(B31&gt;=Milestones!B26,Milestones!C26,0))</f>
        <v>3950</v>
      </c>
      <c r="K31" s="5">
        <f t="shared" si="2"/>
        <v>5650.0000000000073</v>
      </c>
      <c r="L31" s="7">
        <f>F31/'Perfect P&amp;L'!C26</f>
        <v>1.0291200000000007</v>
      </c>
    </row>
    <row r="32" spans="1:12" x14ac:dyDescent="0.2">
      <c r="A32" s="2">
        <v>26</v>
      </c>
      <c r="B32" s="3">
        <f t="shared" si="3"/>
        <v>32.000000000000021</v>
      </c>
      <c r="C32" s="4">
        <f>IF(26&lt;='Sales Funnel'!C15,'Sales Funnel'!C18,0)</f>
        <v>0</v>
      </c>
      <c r="D32" s="5">
        <f>IF(26&lt;='Sales Funnel'!C15,('Current State'!C8*(1-MIN(26,'Sales Funnel'!C15)/'Sales Funnel'!C15))+('Target State'!C8*MIN(26,'Sales Funnel'!C15)/'Sales Funnel'!C15),'Target State'!C8)</f>
        <v>300</v>
      </c>
      <c r="E32" s="5">
        <f t="shared" si="0"/>
        <v>9600.0000000000073</v>
      </c>
      <c r="F32" s="5">
        <f t="shared" si="1"/>
        <v>115200.00000000009</v>
      </c>
      <c r="G32" s="4">
        <f>IF(26&lt;='Sales Funnel'!C15,'Sales Funnel'!C25,0)</f>
        <v>0</v>
      </c>
      <c r="H32" s="4">
        <f>IF(26&lt;='Sales Funnel'!C15,'Sales Funnel'!C23,0)</f>
        <v>0</v>
      </c>
      <c r="I32" s="6" t="str">
        <f>IF(AND(B32&gt;=Milestones!B26,Milestones!A26&lt;&gt;""),Milestones!A26,IF(AND(B32&gt;=Milestones!B25,Milestones!A25&lt;&gt;""),Milestones!A25,IF(AND(B32&gt;=Milestones!B24,Milestones!A24&lt;&gt;""),Milestones!A24,IF(AND(B32&gt;=Milestones!B23,Milestones!A23&lt;&gt;""),Milestones!A23,IF(AND(B32&gt;=Milestones!B22,Milestones!A22&lt;&gt;""),Milestones!A22,IF(AND(B32&gt;=Milestones!B21,Milestones!A21&lt;&gt;""),Milestones!A21,IF(AND(B32&gt;=Milestones!B20,Milestones!A20&lt;&gt;""),Milestones!A20,IF(AND(B32&gt;=Milestones!B19,Milestones!A19&lt;&gt;""),Milestones!A19,IF(AND(B32&gt;=Milestones!B18,Milestones!A18&lt;&gt;""),Milestones!A18,IF(AND(B32&gt;=Milestones!B17,Milestones!A17&lt;&gt;""),Milestones!A17,IF(AND(B32&gt;=Milestones!B16,Milestones!A16&lt;&gt;""),Milestones!A16,IF(AND(B32&gt;=Milestones!B15,Milestones!A15&lt;&gt;""),Milestones!A15,IF(AND(B32&gt;=Milestones!B14,Milestones!A14&lt;&gt;""),Milestones!A14,IF(AND(B32&gt;=Milestones!B13,Milestones!A13&lt;&gt;""),Milestones!A13,IF(AND(B32&gt;=Milestones!B12,Milestones!A12&lt;&gt;""),Milestones!A12,IF(AND(B32&gt;=Milestones!B11,Milestones!A11&lt;&gt;""),Milestones!A11,IF(AND(B32&gt;=Milestones!B10,Milestones!A10&lt;&gt;""),Milestones!A10,IF(AND(B32&gt;=Milestones!B9,Milestones!A9&lt;&gt;""),Milestones!A9,IF(AND(B32&gt;=Milestones!B8,Milestones!A8&lt;&gt;""),Milestones!A8,IF(AND(B32&gt;=Milestones!B7,Milestones!A7&lt;&gt;""),Milestones!A7,"-"))))))))))))))))))))</f>
        <v>Advanced software tools</v>
      </c>
      <c r="J32" s="5">
        <f>(IF(B32&gt;=Milestones!B7,Milestones!C7,0)+IF(B32&gt;=Milestones!B8,Milestones!C8,0)+IF(B32&gt;=Milestones!B9,Milestones!C9,0)+IF(B32&gt;=Milestones!B10,Milestones!C10,0)+IF(B32&gt;=Milestones!B11,Milestones!C11,0)+IF(B32&gt;=Milestones!B12,Milestones!C12,0)+IF(B32&gt;=Milestones!B13,Milestones!C13,0)+IF(B32&gt;=Milestones!B14,Milestones!C14,0)+IF(B32&gt;=Milestones!B15,Milestones!C15,0)+IF(B32&gt;=Milestones!B16,Milestones!C16,0)+IF(B32&gt;=Milestones!B17,Milestones!C17,0)+IF(B32&gt;=Milestones!B18,Milestones!C18,0)+IF(B32&gt;=Milestones!B19,Milestones!C19,0)+IF(B32&gt;=Milestones!B20,Milestones!C20,0)+IF(B32&gt;=Milestones!B21,Milestones!C21,0)+IF(B32&gt;=Milestones!B22,Milestones!C22,0)+IF(B32&gt;=Milestones!B23,Milestones!C23,0)+IF(B32&gt;=Milestones!B24,Milestones!C24,0)+IF(B32&gt;=Milestones!B25,Milestones!C25,0)+IF(B32&gt;=Milestones!B26,Milestones!C26,0))</f>
        <v>3950</v>
      </c>
      <c r="K32" s="5">
        <f t="shared" si="2"/>
        <v>5650.0000000000073</v>
      </c>
      <c r="L32" s="7">
        <f>F32/'Perfect P&amp;L'!C26</f>
        <v>1.0291200000000007</v>
      </c>
    </row>
    <row r="33" spans="1:12" x14ac:dyDescent="0.2">
      <c r="A33" s="2">
        <v>27</v>
      </c>
      <c r="B33" s="3">
        <f t="shared" si="3"/>
        <v>32.000000000000021</v>
      </c>
      <c r="C33" s="4">
        <f>IF(27&lt;='Sales Funnel'!C15,'Sales Funnel'!C18,0)</f>
        <v>0</v>
      </c>
      <c r="D33" s="5">
        <f>IF(27&lt;='Sales Funnel'!C15,('Current State'!C8*(1-MIN(27,'Sales Funnel'!C15)/'Sales Funnel'!C15))+('Target State'!C8*MIN(27,'Sales Funnel'!C15)/'Sales Funnel'!C15),'Target State'!C8)</f>
        <v>300</v>
      </c>
      <c r="E33" s="5">
        <f t="shared" si="0"/>
        <v>9600.0000000000073</v>
      </c>
      <c r="F33" s="5">
        <f t="shared" si="1"/>
        <v>115200.00000000009</v>
      </c>
      <c r="G33" s="4">
        <f>IF(27&lt;='Sales Funnel'!C15,'Sales Funnel'!C25,0)</f>
        <v>0</v>
      </c>
      <c r="H33" s="4">
        <f>IF(27&lt;='Sales Funnel'!C15,'Sales Funnel'!C23,0)</f>
        <v>0</v>
      </c>
      <c r="I33" s="6" t="str">
        <f>IF(AND(B33&gt;=Milestones!B26,Milestones!A26&lt;&gt;""),Milestones!A26,IF(AND(B33&gt;=Milestones!B25,Milestones!A25&lt;&gt;""),Milestones!A25,IF(AND(B33&gt;=Milestones!B24,Milestones!A24&lt;&gt;""),Milestones!A24,IF(AND(B33&gt;=Milestones!B23,Milestones!A23&lt;&gt;""),Milestones!A23,IF(AND(B33&gt;=Milestones!B22,Milestones!A22&lt;&gt;""),Milestones!A22,IF(AND(B33&gt;=Milestones!B21,Milestones!A21&lt;&gt;""),Milestones!A21,IF(AND(B33&gt;=Milestones!B20,Milestones!A20&lt;&gt;""),Milestones!A20,IF(AND(B33&gt;=Milestones!B19,Milestones!A19&lt;&gt;""),Milestones!A19,IF(AND(B33&gt;=Milestones!B18,Milestones!A18&lt;&gt;""),Milestones!A18,IF(AND(B33&gt;=Milestones!B17,Milestones!A17&lt;&gt;""),Milestones!A17,IF(AND(B33&gt;=Milestones!B16,Milestones!A16&lt;&gt;""),Milestones!A16,IF(AND(B33&gt;=Milestones!B15,Milestones!A15&lt;&gt;""),Milestones!A15,IF(AND(B33&gt;=Milestones!B14,Milestones!A14&lt;&gt;""),Milestones!A14,IF(AND(B33&gt;=Milestones!B13,Milestones!A13&lt;&gt;""),Milestones!A13,IF(AND(B33&gt;=Milestones!B12,Milestones!A12&lt;&gt;""),Milestones!A12,IF(AND(B33&gt;=Milestones!B11,Milestones!A11&lt;&gt;""),Milestones!A11,IF(AND(B33&gt;=Milestones!B10,Milestones!A10&lt;&gt;""),Milestones!A10,IF(AND(B33&gt;=Milestones!B9,Milestones!A9&lt;&gt;""),Milestones!A9,IF(AND(B33&gt;=Milestones!B8,Milestones!A8&lt;&gt;""),Milestones!A8,IF(AND(B33&gt;=Milestones!B7,Milestones!A7&lt;&gt;""),Milestones!A7,"-"))))))))))))))))))))</f>
        <v>Advanced software tools</v>
      </c>
      <c r="J33" s="5">
        <f>(IF(B33&gt;=Milestones!B7,Milestones!C7,0)+IF(B33&gt;=Milestones!B8,Milestones!C8,0)+IF(B33&gt;=Milestones!B9,Milestones!C9,0)+IF(B33&gt;=Milestones!B10,Milestones!C10,0)+IF(B33&gt;=Milestones!B11,Milestones!C11,0)+IF(B33&gt;=Milestones!B12,Milestones!C12,0)+IF(B33&gt;=Milestones!B13,Milestones!C13,0)+IF(B33&gt;=Milestones!B14,Milestones!C14,0)+IF(B33&gt;=Milestones!B15,Milestones!C15,0)+IF(B33&gt;=Milestones!B16,Milestones!C16,0)+IF(B33&gt;=Milestones!B17,Milestones!C17,0)+IF(B33&gt;=Milestones!B18,Milestones!C18,0)+IF(B33&gt;=Milestones!B19,Milestones!C19,0)+IF(B33&gt;=Milestones!B20,Milestones!C20,0)+IF(B33&gt;=Milestones!B21,Milestones!C21,0)+IF(B33&gt;=Milestones!B22,Milestones!C22,0)+IF(B33&gt;=Milestones!B23,Milestones!C23,0)+IF(B33&gt;=Milestones!B24,Milestones!C24,0)+IF(B33&gt;=Milestones!B25,Milestones!C25,0)+IF(B33&gt;=Milestones!B26,Milestones!C26,0))</f>
        <v>3950</v>
      </c>
      <c r="K33" s="5">
        <f t="shared" si="2"/>
        <v>5650.0000000000073</v>
      </c>
      <c r="L33" s="7">
        <f>F33/'Perfect P&amp;L'!C26</f>
        <v>1.0291200000000007</v>
      </c>
    </row>
    <row r="34" spans="1:12" x14ac:dyDescent="0.2">
      <c r="A34" s="2">
        <v>28</v>
      </c>
      <c r="B34" s="3">
        <f t="shared" si="3"/>
        <v>32.000000000000021</v>
      </c>
      <c r="C34" s="4">
        <f>IF(28&lt;='Sales Funnel'!C15,'Sales Funnel'!C18,0)</f>
        <v>0</v>
      </c>
      <c r="D34" s="5">
        <f>IF(28&lt;='Sales Funnel'!C15,('Current State'!C8*(1-MIN(28,'Sales Funnel'!C15)/'Sales Funnel'!C15))+('Target State'!C8*MIN(28,'Sales Funnel'!C15)/'Sales Funnel'!C15),'Target State'!C8)</f>
        <v>300</v>
      </c>
      <c r="E34" s="5">
        <f t="shared" si="0"/>
        <v>9600.0000000000073</v>
      </c>
      <c r="F34" s="5">
        <f t="shared" si="1"/>
        <v>115200.00000000009</v>
      </c>
      <c r="G34" s="4">
        <f>IF(28&lt;='Sales Funnel'!C15,'Sales Funnel'!C25,0)</f>
        <v>0</v>
      </c>
      <c r="H34" s="4">
        <f>IF(28&lt;='Sales Funnel'!C15,'Sales Funnel'!C23,0)</f>
        <v>0</v>
      </c>
      <c r="I34" s="6" t="str">
        <f>IF(AND(B34&gt;=Milestones!B26,Milestones!A26&lt;&gt;""),Milestones!A26,IF(AND(B34&gt;=Milestones!B25,Milestones!A25&lt;&gt;""),Milestones!A25,IF(AND(B34&gt;=Milestones!B24,Milestones!A24&lt;&gt;""),Milestones!A24,IF(AND(B34&gt;=Milestones!B23,Milestones!A23&lt;&gt;""),Milestones!A23,IF(AND(B34&gt;=Milestones!B22,Milestones!A22&lt;&gt;""),Milestones!A22,IF(AND(B34&gt;=Milestones!B21,Milestones!A21&lt;&gt;""),Milestones!A21,IF(AND(B34&gt;=Milestones!B20,Milestones!A20&lt;&gt;""),Milestones!A20,IF(AND(B34&gt;=Milestones!B19,Milestones!A19&lt;&gt;""),Milestones!A19,IF(AND(B34&gt;=Milestones!B18,Milestones!A18&lt;&gt;""),Milestones!A18,IF(AND(B34&gt;=Milestones!B17,Milestones!A17&lt;&gt;""),Milestones!A17,IF(AND(B34&gt;=Milestones!B16,Milestones!A16&lt;&gt;""),Milestones!A16,IF(AND(B34&gt;=Milestones!B15,Milestones!A15&lt;&gt;""),Milestones!A15,IF(AND(B34&gt;=Milestones!B14,Milestones!A14&lt;&gt;""),Milestones!A14,IF(AND(B34&gt;=Milestones!B13,Milestones!A13&lt;&gt;""),Milestones!A13,IF(AND(B34&gt;=Milestones!B12,Milestones!A12&lt;&gt;""),Milestones!A12,IF(AND(B34&gt;=Milestones!B11,Milestones!A11&lt;&gt;""),Milestones!A11,IF(AND(B34&gt;=Milestones!B10,Milestones!A10&lt;&gt;""),Milestones!A10,IF(AND(B34&gt;=Milestones!B9,Milestones!A9&lt;&gt;""),Milestones!A9,IF(AND(B34&gt;=Milestones!B8,Milestones!A8&lt;&gt;""),Milestones!A8,IF(AND(B34&gt;=Milestones!B7,Milestones!A7&lt;&gt;""),Milestones!A7,"-"))))))))))))))))))))</f>
        <v>Advanced software tools</v>
      </c>
      <c r="J34" s="5">
        <f>(IF(B34&gt;=Milestones!B7,Milestones!C7,0)+IF(B34&gt;=Milestones!B8,Milestones!C8,0)+IF(B34&gt;=Milestones!B9,Milestones!C9,0)+IF(B34&gt;=Milestones!B10,Milestones!C10,0)+IF(B34&gt;=Milestones!B11,Milestones!C11,0)+IF(B34&gt;=Milestones!B12,Milestones!C12,0)+IF(B34&gt;=Milestones!B13,Milestones!C13,0)+IF(B34&gt;=Milestones!B14,Milestones!C14,0)+IF(B34&gt;=Milestones!B15,Milestones!C15,0)+IF(B34&gt;=Milestones!B16,Milestones!C16,0)+IF(B34&gt;=Milestones!B17,Milestones!C17,0)+IF(B34&gt;=Milestones!B18,Milestones!C18,0)+IF(B34&gt;=Milestones!B19,Milestones!C19,0)+IF(B34&gt;=Milestones!B20,Milestones!C20,0)+IF(B34&gt;=Milestones!B21,Milestones!C21,0)+IF(B34&gt;=Milestones!B22,Milestones!C22,0)+IF(B34&gt;=Milestones!B23,Milestones!C23,0)+IF(B34&gt;=Milestones!B24,Milestones!C24,0)+IF(B34&gt;=Milestones!B25,Milestones!C25,0)+IF(B34&gt;=Milestones!B26,Milestones!C26,0))</f>
        <v>3950</v>
      </c>
      <c r="K34" s="5">
        <f t="shared" si="2"/>
        <v>5650.0000000000073</v>
      </c>
      <c r="L34" s="7">
        <f>F34/'Perfect P&amp;L'!C26</f>
        <v>1.0291200000000007</v>
      </c>
    </row>
    <row r="35" spans="1:12" x14ac:dyDescent="0.2">
      <c r="A35" s="2">
        <v>29</v>
      </c>
      <c r="B35" s="3">
        <f t="shared" si="3"/>
        <v>32.000000000000021</v>
      </c>
      <c r="C35" s="4">
        <f>IF(29&lt;='Sales Funnel'!C15,'Sales Funnel'!C18,0)</f>
        <v>0</v>
      </c>
      <c r="D35" s="5">
        <f>IF(29&lt;='Sales Funnel'!C15,('Current State'!C8*(1-MIN(29,'Sales Funnel'!C15)/'Sales Funnel'!C15))+('Target State'!C8*MIN(29,'Sales Funnel'!C15)/'Sales Funnel'!C15),'Target State'!C8)</f>
        <v>300</v>
      </c>
      <c r="E35" s="5">
        <f t="shared" si="0"/>
        <v>9600.0000000000073</v>
      </c>
      <c r="F35" s="5">
        <f t="shared" si="1"/>
        <v>115200.00000000009</v>
      </c>
      <c r="G35" s="4">
        <f>IF(29&lt;='Sales Funnel'!C15,'Sales Funnel'!C25,0)</f>
        <v>0</v>
      </c>
      <c r="H35" s="4">
        <f>IF(29&lt;='Sales Funnel'!C15,'Sales Funnel'!C23,0)</f>
        <v>0</v>
      </c>
      <c r="I35" s="6" t="str">
        <f>IF(AND(B35&gt;=Milestones!B26,Milestones!A26&lt;&gt;""),Milestones!A26,IF(AND(B35&gt;=Milestones!B25,Milestones!A25&lt;&gt;""),Milestones!A25,IF(AND(B35&gt;=Milestones!B24,Milestones!A24&lt;&gt;""),Milestones!A24,IF(AND(B35&gt;=Milestones!B23,Milestones!A23&lt;&gt;""),Milestones!A23,IF(AND(B35&gt;=Milestones!B22,Milestones!A22&lt;&gt;""),Milestones!A22,IF(AND(B35&gt;=Milestones!B21,Milestones!A21&lt;&gt;""),Milestones!A21,IF(AND(B35&gt;=Milestones!B20,Milestones!A20&lt;&gt;""),Milestones!A20,IF(AND(B35&gt;=Milestones!B19,Milestones!A19&lt;&gt;""),Milestones!A19,IF(AND(B35&gt;=Milestones!B18,Milestones!A18&lt;&gt;""),Milestones!A18,IF(AND(B35&gt;=Milestones!B17,Milestones!A17&lt;&gt;""),Milestones!A17,IF(AND(B35&gt;=Milestones!B16,Milestones!A16&lt;&gt;""),Milestones!A16,IF(AND(B35&gt;=Milestones!B15,Milestones!A15&lt;&gt;""),Milestones!A15,IF(AND(B35&gt;=Milestones!B14,Milestones!A14&lt;&gt;""),Milestones!A14,IF(AND(B35&gt;=Milestones!B13,Milestones!A13&lt;&gt;""),Milestones!A13,IF(AND(B35&gt;=Milestones!B12,Milestones!A12&lt;&gt;""),Milestones!A12,IF(AND(B35&gt;=Milestones!B11,Milestones!A11&lt;&gt;""),Milestones!A11,IF(AND(B35&gt;=Milestones!B10,Milestones!A10&lt;&gt;""),Milestones!A10,IF(AND(B35&gt;=Milestones!B9,Milestones!A9&lt;&gt;""),Milestones!A9,IF(AND(B35&gt;=Milestones!B8,Milestones!A8&lt;&gt;""),Milestones!A8,IF(AND(B35&gt;=Milestones!B7,Milestones!A7&lt;&gt;""),Milestones!A7,"-"))))))))))))))))))))</f>
        <v>Advanced software tools</v>
      </c>
      <c r="J35" s="5">
        <f>(IF(B35&gt;=Milestones!B7,Milestones!C7,0)+IF(B35&gt;=Milestones!B8,Milestones!C8,0)+IF(B35&gt;=Milestones!B9,Milestones!C9,0)+IF(B35&gt;=Milestones!B10,Milestones!C10,0)+IF(B35&gt;=Milestones!B11,Milestones!C11,0)+IF(B35&gt;=Milestones!B12,Milestones!C12,0)+IF(B35&gt;=Milestones!B13,Milestones!C13,0)+IF(B35&gt;=Milestones!B14,Milestones!C14,0)+IF(B35&gt;=Milestones!B15,Milestones!C15,0)+IF(B35&gt;=Milestones!B16,Milestones!C16,0)+IF(B35&gt;=Milestones!B17,Milestones!C17,0)+IF(B35&gt;=Milestones!B18,Milestones!C18,0)+IF(B35&gt;=Milestones!B19,Milestones!C19,0)+IF(B35&gt;=Milestones!B20,Milestones!C20,0)+IF(B35&gt;=Milestones!B21,Milestones!C21,0)+IF(B35&gt;=Milestones!B22,Milestones!C22,0)+IF(B35&gt;=Milestones!B23,Milestones!C23,0)+IF(B35&gt;=Milestones!B24,Milestones!C24,0)+IF(B35&gt;=Milestones!B25,Milestones!C25,0)+IF(B35&gt;=Milestones!B26,Milestones!C26,0))</f>
        <v>3950</v>
      </c>
      <c r="K35" s="5">
        <f t="shared" si="2"/>
        <v>5650.0000000000073</v>
      </c>
      <c r="L35" s="7">
        <f>F35/'Perfect P&amp;L'!C26</f>
        <v>1.0291200000000007</v>
      </c>
    </row>
    <row r="36" spans="1:12" x14ac:dyDescent="0.2">
      <c r="A36" s="2">
        <v>30</v>
      </c>
      <c r="B36" s="3">
        <f t="shared" si="3"/>
        <v>32.000000000000021</v>
      </c>
      <c r="C36" s="4">
        <f>IF(30&lt;='Sales Funnel'!C15,'Sales Funnel'!C18,0)</f>
        <v>0</v>
      </c>
      <c r="D36" s="5">
        <f>IF(30&lt;='Sales Funnel'!C15,('Current State'!C8*(1-MIN(30,'Sales Funnel'!C15)/'Sales Funnel'!C15))+('Target State'!C8*MIN(30,'Sales Funnel'!C15)/'Sales Funnel'!C15),'Target State'!C8)</f>
        <v>300</v>
      </c>
      <c r="E36" s="5">
        <f t="shared" si="0"/>
        <v>9600.0000000000073</v>
      </c>
      <c r="F36" s="5">
        <f t="shared" si="1"/>
        <v>115200.00000000009</v>
      </c>
      <c r="G36" s="4">
        <f>IF(30&lt;='Sales Funnel'!C15,'Sales Funnel'!C25,0)</f>
        <v>0</v>
      </c>
      <c r="H36" s="4">
        <f>IF(30&lt;='Sales Funnel'!C15,'Sales Funnel'!C23,0)</f>
        <v>0</v>
      </c>
      <c r="I36" s="6" t="str">
        <f>IF(AND(B36&gt;=Milestones!B26,Milestones!A26&lt;&gt;""),Milestones!A26,IF(AND(B36&gt;=Milestones!B25,Milestones!A25&lt;&gt;""),Milestones!A25,IF(AND(B36&gt;=Milestones!B24,Milestones!A24&lt;&gt;""),Milestones!A24,IF(AND(B36&gt;=Milestones!B23,Milestones!A23&lt;&gt;""),Milestones!A23,IF(AND(B36&gt;=Milestones!B22,Milestones!A22&lt;&gt;""),Milestones!A22,IF(AND(B36&gt;=Milestones!B21,Milestones!A21&lt;&gt;""),Milestones!A21,IF(AND(B36&gt;=Milestones!B20,Milestones!A20&lt;&gt;""),Milestones!A20,IF(AND(B36&gt;=Milestones!B19,Milestones!A19&lt;&gt;""),Milestones!A19,IF(AND(B36&gt;=Milestones!B18,Milestones!A18&lt;&gt;""),Milestones!A18,IF(AND(B36&gt;=Milestones!B17,Milestones!A17&lt;&gt;""),Milestones!A17,IF(AND(B36&gt;=Milestones!B16,Milestones!A16&lt;&gt;""),Milestones!A16,IF(AND(B36&gt;=Milestones!B15,Milestones!A15&lt;&gt;""),Milestones!A15,IF(AND(B36&gt;=Milestones!B14,Milestones!A14&lt;&gt;""),Milestones!A14,IF(AND(B36&gt;=Milestones!B13,Milestones!A13&lt;&gt;""),Milestones!A13,IF(AND(B36&gt;=Milestones!B12,Milestones!A12&lt;&gt;""),Milestones!A12,IF(AND(B36&gt;=Milestones!B11,Milestones!A11&lt;&gt;""),Milestones!A11,IF(AND(B36&gt;=Milestones!B10,Milestones!A10&lt;&gt;""),Milestones!A10,IF(AND(B36&gt;=Milestones!B9,Milestones!A9&lt;&gt;""),Milestones!A9,IF(AND(B36&gt;=Milestones!B8,Milestones!A8&lt;&gt;""),Milestones!A8,IF(AND(B36&gt;=Milestones!B7,Milestones!A7&lt;&gt;""),Milestones!A7,"-"))))))))))))))))))))</f>
        <v>Advanced software tools</v>
      </c>
      <c r="J36" s="5">
        <f>(IF(B36&gt;=Milestones!B7,Milestones!C7,0)+IF(B36&gt;=Milestones!B8,Milestones!C8,0)+IF(B36&gt;=Milestones!B9,Milestones!C9,0)+IF(B36&gt;=Milestones!B10,Milestones!C10,0)+IF(B36&gt;=Milestones!B11,Milestones!C11,0)+IF(B36&gt;=Milestones!B12,Milestones!C12,0)+IF(B36&gt;=Milestones!B13,Milestones!C13,0)+IF(B36&gt;=Milestones!B14,Milestones!C14,0)+IF(B36&gt;=Milestones!B15,Milestones!C15,0)+IF(B36&gt;=Milestones!B16,Milestones!C16,0)+IF(B36&gt;=Milestones!B17,Milestones!C17,0)+IF(B36&gt;=Milestones!B18,Milestones!C18,0)+IF(B36&gt;=Milestones!B19,Milestones!C19,0)+IF(B36&gt;=Milestones!B20,Milestones!C20,0)+IF(B36&gt;=Milestones!B21,Milestones!C21,0)+IF(B36&gt;=Milestones!B22,Milestones!C22,0)+IF(B36&gt;=Milestones!B23,Milestones!C23,0)+IF(B36&gt;=Milestones!B24,Milestones!C24,0)+IF(B36&gt;=Milestones!B25,Milestones!C25,0)+IF(B36&gt;=Milestones!B26,Milestones!C26,0))</f>
        <v>3950</v>
      </c>
      <c r="K36" s="5">
        <f t="shared" si="2"/>
        <v>5650.0000000000073</v>
      </c>
      <c r="L36" s="7">
        <f>F36/'Perfect P&amp;L'!C26</f>
        <v>1.0291200000000007</v>
      </c>
    </row>
    <row r="37" spans="1:12" x14ac:dyDescent="0.2">
      <c r="A37" s="2">
        <v>31</v>
      </c>
      <c r="B37" s="3">
        <f t="shared" si="3"/>
        <v>32.000000000000021</v>
      </c>
      <c r="C37" s="4">
        <f>IF(31&lt;='Sales Funnel'!C15,'Sales Funnel'!C18,0)</f>
        <v>0</v>
      </c>
      <c r="D37" s="5">
        <f>IF(31&lt;='Sales Funnel'!C15,('Current State'!C8*(1-MIN(31,'Sales Funnel'!C15)/'Sales Funnel'!C15))+('Target State'!C8*MIN(31,'Sales Funnel'!C15)/'Sales Funnel'!C15),'Target State'!C8)</f>
        <v>300</v>
      </c>
      <c r="E37" s="5">
        <f t="shared" si="0"/>
        <v>9600.0000000000073</v>
      </c>
      <c r="F37" s="5">
        <f t="shared" si="1"/>
        <v>115200.00000000009</v>
      </c>
      <c r="G37" s="4">
        <f>IF(31&lt;='Sales Funnel'!C15,'Sales Funnel'!C25,0)</f>
        <v>0</v>
      </c>
      <c r="H37" s="4">
        <f>IF(31&lt;='Sales Funnel'!C15,'Sales Funnel'!C23,0)</f>
        <v>0</v>
      </c>
      <c r="I37" s="6" t="str">
        <f>IF(AND(B37&gt;=Milestones!B26,Milestones!A26&lt;&gt;""),Milestones!A26,IF(AND(B37&gt;=Milestones!B25,Milestones!A25&lt;&gt;""),Milestones!A25,IF(AND(B37&gt;=Milestones!B24,Milestones!A24&lt;&gt;""),Milestones!A24,IF(AND(B37&gt;=Milestones!B23,Milestones!A23&lt;&gt;""),Milestones!A23,IF(AND(B37&gt;=Milestones!B22,Milestones!A22&lt;&gt;""),Milestones!A22,IF(AND(B37&gt;=Milestones!B21,Milestones!A21&lt;&gt;""),Milestones!A21,IF(AND(B37&gt;=Milestones!B20,Milestones!A20&lt;&gt;""),Milestones!A20,IF(AND(B37&gt;=Milestones!B19,Milestones!A19&lt;&gt;""),Milestones!A19,IF(AND(B37&gt;=Milestones!B18,Milestones!A18&lt;&gt;""),Milestones!A18,IF(AND(B37&gt;=Milestones!B17,Milestones!A17&lt;&gt;""),Milestones!A17,IF(AND(B37&gt;=Milestones!B16,Milestones!A16&lt;&gt;""),Milestones!A16,IF(AND(B37&gt;=Milestones!B15,Milestones!A15&lt;&gt;""),Milestones!A15,IF(AND(B37&gt;=Milestones!B14,Milestones!A14&lt;&gt;""),Milestones!A14,IF(AND(B37&gt;=Milestones!B13,Milestones!A13&lt;&gt;""),Milestones!A13,IF(AND(B37&gt;=Milestones!B12,Milestones!A12&lt;&gt;""),Milestones!A12,IF(AND(B37&gt;=Milestones!B11,Milestones!A11&lt;&gt;""),Milestones!A11,IF(AND(B37&gt;=Milestones!B10,Milestones!A10&lt;&gt;""),Milestones!A10,IF(AND(B37&gt;=Milestones!B9,Milestones!A9&lt;&gt;""),Milestones!A9,IF(AND(B37&gt;=Milestones!B8,Milestones!A8&lt;&gt;""),Milestones!A8,IF(AND(B37&gt;=Milestones!B7,Milestones!A7&lt;&gt;""),Milestones!A7,"-"))))))))))))))))))))</f>
        <v>Advanced software tools</v>
      </c>
      <c r="J37" s="5">
        <f>(IF(B37&gt;=Milestones!B7,Milestones!C7,0)+IF(B37&gt;=Milestones!B8,Milestones!C8,0)+IF(B37&gt;=Milestones!B9,Milestones!C9,0)+IF(B37&gt;=Milestones!B10,Milestones!C10,0)+IF(B37&gt;=Milestones!B11,Milestones!C11,0)+IF(B37&gt;=Milestones!B12,Milestones!C12,0)+IF(B37&gt;=Milestones!B13,Milestones!C13,0)+IF(B37&gt;=Milestones!B14,Milestones!C14,0)+IF(B37&gt;=Milestones!B15,Milestones!C15,0)+IF(B37&gt;=Milestones!B16,Milestones!C16,0)+IF(B37&gt;=Milestones!B17,Milestones!C17,0)+IF(B37&gt;=Milestones!B18,Milestones!C18,0)+IF(B37&gt;=Milestones!B19,Milestones!C19,0)+IF(B37&gt;=Milestones!B20,Milestones!C20,0)+IF(B37&gt;=Milestones!B21,Milestones!C21,0)+IF(B37&gt;=Milestones!B22,Milestones!C22,0)+IF(B37&gt;=Milestones!B23,Milestones!C23,0)+IF(B37&gt;=Milestones!B24,Milestones!C24,0)+IF(B37&gt;=Milestones!B25,Milestones!C25,0)+IF(B37&gt;=Milestones!B26,Milestones!C26,0))</f>
        <v>3950</v>
      </c>
      <c r="K37" s="5">
        <f t="shared" si="2"/>
        <v>5650.0000000000073</v>
      </c>
      <c r="L37" s="7">
        <f>F37/'Perfect P&amp;L'!C26</f>
        <v>1.0291200000000007</v>
      </c>
    </row>
    <row r="38" spans="1:12" x14ac:dyDescent="0.2">
      <c r="A38" s="2">
        <v>32</v>
      </c>
      <c r="B38" s="3">
        <f t="shared" si="3"/>
        <v>32.000000000000021</v>
      </c>
      <c r="C38" s="4">
        <f>IF(32&lt;='Sales Funnel'!C15,'Sales Funnel'!C18,0)</f>
        <v>0</v>
      </c>
      <c r="D38" s="5">
        <f>IF(32&lt;='Sales Funnel'!C15,('Current State'!C8*(1-MIN(32,'Sales Funnel'!C15)/'Sales Funnel'!C15))+('Target State'!C8*MIN(32,'Sales Funnel'!C15)/'Sales Funnel'!C15),'Target State'!C8)</f>
        <v>300</v>
      </c>
      <c r="E38" s="5">
        <f t="shared" si="0"/>
        <v>9600.0000000000073</v>
      </c>
      <c r="F38" s="5">
        <f t="shared" si="1"/>
        <v>115200.00000000009</v>
      </c>
      <c r="G38" s="4">
        <f>IF(32&lt;='Sales Funnel'!C15,'Sales Funnel'!C25,0)</f>
        <v>0</v>
      </c>
      <c r="H38" s="4">
        <f>IF(32&lt;='Sales Funnel'!C15,'Sales Funnel'!C23,0)</f>
        <v>0</v>
      </c>
      <c r="I38" s="6" t="str">
        <f>IF(AND(B38&gt;=Milestones!B26,Milestones!A26&lt;&gt;""),Milestones!A26,IF(AND(B38&gt;=Milestones!B25,Milestones!A25&lt;&gt;""),Milestones!A25,IF(AND(B38&gt;=Milestones!B24,Milestones!A24&lt;&gt;""),Milestones!A24,IF(AND(B38&gt;=Milestones!B23,Milestones!A23&lt;&gt;""),Milestones!A23,IF(AND(B38&gt;=Milestones!B22,Milestones!A22&lt;&gt;""),Milestones!A22,IF(AND(B38&gt;=Milestones!B21,Milestones!A21&lt;&gt;""),Milestones!A21,IF(AND(B38&gt;=Milestones!B20,Milestones!A20&lt;&gt;""),Milestones!A20,IF(AND(B38&gt;=Milestones!B19,Milestones!A19&lt;&gt;""),Milestones!A19,IF(AND(B38&gt;=Milestones!B18,Milestones!A18&lt;&gt;""),Milestones!A18,IF(AND(B38&gt;=Milestones!B17,Milestones!A17&lt;&gt;""),Milestones!A17,IF(AND(B38&gt;=Milestones!B16,Milestones!A16&lt;&gt;""),Milestones!A16,IF(AND(B38&gt;=Milestones!B15,Milestones!A15&lt;&gt;""),Milestones!A15,IF(AND(B38&gt;=Milestones!B14,Milestones!A14&lt;&gt;""),Milestones!A14,IF(AND(B38&gt;=Milestones!B13,Milestones!A13&lt;&gt;""),Milestones!A13,IF(AND(B38&gt;=Milestones!B12,Milestones!A12&lt;&gt;""),Milestones!A12,IF(AND(B38&gt;=Milestones!B11,Milestones!A11&lt;&gt;""),Milestones!A11,IF(AND(B38&gt;=Milestones!B10,Milestones!A10&lt;&gt;""),Milestones!A10,IF(AND(B38&gt;=Milestones!B9,Milestones!A9&lt;&gt;""),Milestones!A9,IF(AND(B38&gt;=Milestones!B8,Milestones!A8&lt;&gt;""),Milestones!A8,IF(AND(B38&gt;=Milestones!B7,Milestones!A7&lt;&gt;""),Milestones!A7,"-"))))))))))))))))))))</f>
        <v>Advanced software tools</v>
      </c>
      <c r="J38" s="5">
        <f>(IF(B38&gt;=Milestones!B7,Milestones!C7,0)+IF(B38&gt;=Milestones!B8,Milestones!C8,0)+IF(B38&gt;=Milestones!B9,Milestones!C9,0)+IF(B38&gt;=Milestones!B10,Milestones!C10,0)+IF(B38&gt;=Milestones!B11,Milestones!C11,0)+IF(B38&gt;=Milestones!B12,Milestones!C12,0)+IF(B38&gt;=Milestones!B13,Milestones!C13,0)+IF(B38&gt;=Milestones!B14,Milestones!C14,0)+IF(B38&gt;=Milestones!B15,Milestones!C15,0)+IF(B38&gt;=Milestones!B16,Milestones!C16,0)+IF(B38&gt;=Milestones!B17,Milestones!C17,0)+IF(B38&gt;=Milestones!B18,Milestones!C18,0)+IF(B38&gt;=Milestones!B19,Milestones!C19,0)+IF(B38&gt;=Milestones!B20,Milestones!C20,0)+IF(B38&gt;=Milestones!B21,Milestones!C21,0)+IF(B38&gt;=Milestones!B22,Milestones!C22,0)+IF(B38&gt;=Milestones!B23,Milestones!C23,0)+IF(B38&gt;=Milestones!B24,Milestones!C24,0)+IF(B38&gt;=Milestones!B25,Milestones!C25,0)+IF(B38&gt;=Milestones!B26,Milestones!C26,0))</f>
        <v>3950</v>
      </c>
      <c r="K38" s="5">
        <f t="shared" si="2"/>
        <v>5650.0000000000073</v>
      </c>
      <c r="L38" s="7">
        <f>F38/'Perfect P&amp;L'!C26</f>
        <v>1.0291200000000007</v>
      </c>
    </row>
    <row r="39" spans="1:12" x14ac:dyDescent="0.2">
      <c r="A39" s="2">
        <v>33</v>
      </c>
      <c r="B39" s="3">
        <f t="shared" si="3"/>
        <v>32.000000000000021</v>
      </c>
      <c r="C39" s="4">
        <f>IF(33&lt;='Sales Funnel'!C15,'Sales Funnel'!C18,0)</f>
        <v>0</v>
      </c>
      <c r="D39" s="5">
        <f>IF(33&lt;='Sales Funnel'!C15,('Current State'!C8*(1-MIN(33,'Sales Funnel'!C15)/'Sales Funnel'!C15))+('Target State'!C8*MIN(33,'Sales Funnel'!C15)/'Sales Funnel'!C15),'Target State'!C8)</f>
        <v>300</v>
      </c>
      <c r="E39" s="5">
        <f t="shared" si="0"/>
        <v>9600.0000000000073</v>
      </c>
      <c r="F39" s="5">
        <f t="shared" si="1"/>
        <v>115200.00000000009</v>
      </c>
      <c r="G39" s="4">
        <f>IF(33&lt;='Sales Funnel'!C15,'Sales Funnel'!C25,0)</f>
        <v>0</v>
      </c>
      <c r="H39" s="4">
        <f>IF(33&lt;='Sales Funnel'!C15,'Sales Funnel'!C23,0)</f>
        <v>0</v>
      </c>
      <c r="I39" s="6" t="str">
        <f>IF(AND(B39&gt;=Milestones!B26,Milestones!A26&lt;&gt;""),Milestones!A26,IF(AND(B39&gt;=Milestones!B25,Milestones!A25&lt;&gt;""),Milestones!A25,IF(AND(B39&gt;=Milestones!B24,Milestones!A24&lt;&gt;""),Milestones!A24,IF(AND(B39&gt;=Milestones!B23,Milestones!A23&lt;&gt;""),Milestones!A23,IF(AND(B39&gt;=Milestones!B22,Milestones!A22&lt;&gt;""),Milestones!A22,IF(AND(B39&gt;=Milestones!B21,Milestones!A21&lt;&gt;""),Milestones!A21,IF(AND(B39&gt;=Milestones!B20,Milestones!A20&lt;&gt;""),Milestones!A20,IF(AND(B39&gt;=Milestones!B19,Milestones!A19&lt;&gt;""),Milestones!A19,IF(AND(B39&gt;=Milestones!B18,Milestones!A18&lt;&gt;""),Milestones!A18,IF(AND(B39&gt;=Milestones!B17,Milestones!A17&lt;&gt;""),Milestones!A17,IF(AND(B39&gt;=Milestones!B16,Milestones!A16&lt;&gt;""),Milestones!A16,IF(AND(B39&gt;=Milestones!B15,Milestones!A15&lt;&gt;""),Milestones!A15,IF(AND(B39&gt;=Milestones!B14,Milestones!A14&lt;&gt;""),Milestones!A14,IF(AND(B39&gt;=Milestones!B13,Milestones!A13&lt;&gt;""),Milestones!A13,IF(AND(B39&gt;=Milestones!B12,Milestones!A12&lt;&gt;""),Milestones!A12,IF(AND(B39&gt;=Milestones!B11,Milestones!A11&lt;&gt;""),Milestones!A11,IF(AND(B39&gt;=Milestones!B10,Milestones!A10&lt;&gt;""),Milestones!A10,IF(AND(B39&gt;=Milestones!B9,Milestones!A9&lt;&gt;""),Milestones!A9,IF(AND(B39&gt;=Milestones!B8,Milestones!A8&lt;&gt;""),Milestones!A8,IF(AND(B39&gt;=Milestones!B7,Milestones!A7&lt;&gt;""),Milestones!A7,"-"))))))))))))))))))))</f>
        <v>Advanced software tools</v>
      </c>
      <c r="J39" s="5">
        <f>(IF(B39&gt;=Milestones!B7,Milestones!C7,0)+IF(B39&gt;=Milestones!B8,Milestones!C8,0)+IF(B39&gt;=Milestones!B9,Milestones!C9,0)+IF(B39&gt;=Milestones!B10,Milestones!C10,0)+IF(B39&gt;=Milestones!B11,Milestones!C11,0)+IF(B39&gt;=Milestones!B12,Milestones!C12,0)+IF(B39&gt;=Milestones!B13,Milestones!C13,0)+IF(B39&gt;=Milestones!B14,Milestones!C14,0)+IF(B39&gt;=Milestones!B15,Milestones!C15,0)+IF(B39&gt;=Milestones!B16,Milestones!C16,0)+IF(B39&gt;=Milestones!B17,Milestones!C17,0)+IF(B39&gt;=Milestones!B18,Milestones!C18,0)+IF(B39&gt;=Milestones!B19,Milestones!C19,0)+IF(B39&gt;=Milestones!B20,Milestones!C20,0)+IF(B39&gt;=Milestones!B21,Milestones!C21,0)+IF(B39&gt;=Milestones!B22,Milestones!C22,0)+IF(B39&gt;=Milestones!B23,Milestones!C23,0)+IF(B39&gt;=Milestones!B24,Milestones!C24,0)+IF(B39&gt;=Milestones!B25,Milestones!C25,0)+IF(B39&gt;=Milestones!B26,Milestones!C26,0))</f>
        <v>3950</v>
      </c>
      <c r="K39" s="5">
        <f t="shared" si="2"/>
        <v>5650.0000000000073</v>
      </c>
      <c r="L39" s="7">
        <f>F39/'Perfect P&amp;L'!C26</f>
        <v>1.0291200000000007</v>
      </c>
    </row>
    <row r="40" spans="1:12" x14ac:dyDescent="0.2">
      <c r="A40" s="2">
        <v>34</v>
      </c>
      <c r="B40" s="3">
        <f t="shared" si="3"/>
        <v>32.000000000000021</v>
      </c>
      <c r="C40" s="4">
        <f>IF(34&lt;='Sales Funnel'!C15,'Sales Funnel'!C18,0)</f>
        <v>0</v>
      </c>
      <c r="D40" s="5">
        <f>IF(34&lt;='Sales Funnel'!C15,('Current State'!C8*(1-MIN(34,'Sales Funnel'!C15)/'Sales Funnel'!C15))+('Target State'!C8*MIN(34,'Sales Funnel'!C15)/'Sales Funnel'!C15),'Target State'!C8)</f>
        <v>300</v>
      </c>
      <c r="E40" s="5">
        <f t="shared" si="0"/>
        <v>9600.0000000000073</v>
      </c>
      <c r="F40" s="5">
        <f t="shared" si="1"/>
        <v>115200.00000000009</v>
      </c>
      <c r="G40" s="4">
        <f>IF(34&lt;='Sales Funnel'!C15,'Sales Funnel'!C25,0)</f>
        <v>0</v>
      </c>
      <c r="H40" s="4">
        <f>IF(34&lt;='Sales Funnel'!C15,'Sales Funnel'!C23,0)</f>
        <v>0</v>
      </c>
      <c r="I40" s="6" t="str">
        <f>IF(AND(B40&gt;=Milestones!B26,Milestones!A26&lt;&gt;""),Milestones!A26,IF(AND(B40&gt;=Milestones!B25,Milestones!A25&lt;&gt;""),Milestones!A25,IF(AND(B40&gt;=Milestones!B24,Milestones!A24&lt;&gt;""),Milestones!A24,IF(AND(B40&gt;=Milestones!B23,Milestones!A23&lt;&gt;""),Milestones!A23,IF(AND(B40&gt;=Milestones!B22,Milestones!A22&lt;&gt;""),Milestones!A22,IF(AND(B40&gt;=Milestones!B21,Milestones!A21&lt;&gt;""),Milestones!A21,IF(AND(B40&gt;=Milestones!B20,Milestones!A20&lt;&gt;""),Milestones!A20,IF(AND(B40&gt;=Milestones!B19,Milestones!A19&lt;&gt;""),Milestones!A19,IF(AND(B40&gt;=Milestones!B18,Milestones!A18&lt;&gt;""),Milestones!A18,IF(AND(B40&gt;=Milestones!B17,Milestones!A17&lt;&gt;""),Milestones!A17,IF(AND(B40&gt;=Milestones!B16,Milestones!A16&lt;&gt;""),Milestones!A16,IF(AND(B40&gt;=Milestones!B15,Milestones!A15&lt;&gt;""),Milestones!A15,IF(AND(B40&gt;=Milestones!B14,Milestones!A14&lt;&gt;""),Milestones!A14,IF(AND(B40&gt;=Milestones!B13,Milestones!A13&lt;&gt;""),Milestones!A13,IF(AND(B40&gt;=Milestones!B12,Milestones!A12&lt;&gt;""),Milestones!A12,IF(AND(B40&gt;=Milestones!B11,Milestones!A11&lt;&gt;""),Milestones!A11,IF(AND(B40&gt;=Milestones!B10,Milestones!A10&lt;&gt;""),Milestones!A10,IF(AND(B40&gt;=Milestones!B9,Milestones!A9&lt;&gt;""),Milestones!A9,IF(AND(B40&gt;=Milestones!B8,Milestones!A8&lt;&gt;""),Milestones!A8,IF(AND(B40&gt;=Milestones!B7,Milestones!A7&lt;&gt;""),Milestones!A7,"-"))))))))))))))))))))</f>
        <v>Advanced software tools</v>
      </c>
      <c r="J40" s="5">
        <f>(IF(B40&gt;=Milestones!B7,Milestones!C7,0)+IF(B40&gt;=Milestones!B8,Milestones!C8,0)+IF(B40&gt;=Milestones!B9,Milestones!C9,0)+IF(B40&gt;=Milestones!B10,Milestones!C10,0)+IF(B40&gt;=Milestones!B11,Milestones!C11,0)+IF(B40&gt;=Milestones!B12,Milestones!C12,0)+IF(B40&gt;=Milestones!B13,Milestones!C13,0)+IF(B40&gt;=Milestones!B14,Milestones!C14,0)+IF(B40&gt;=Milestones!B15,Milestones!C15,0)+IF(B40&gt;=Milestones!B16,Milestones!C16,0)+IF(B40&gt;=Milestones!B17,Milestones!C17,0)+IF(B40&gt;=Milestones!B18,Milestones!C18,0)+IF(B40&gt;=Milestones!B19,Milestones!C19,0)+IF(B40&gt;=Milestones!B20,Milestones!C20,0)+IF(B40&gt;=Milestones!B21,Milestones!C21,0)+IF(B40&gt;=Milestones!B22,Milestones!C22,0)+IF(B40&gt;=Milestones!B23,Milestones!C23,0)+IF(B40&gt;=Milestones!B24,Milestones!C24,0)+IF(B40&gt;=Milestones!B25,Milestones!C25,0)+IF(B40&gt;=Milestones!B26,Milestones!C26,0))</f>
        <v>3950</v>
      </c>
      <c r="K40" s="5">
        <f t="shared" si="2"/>
        <v>5650.0000000000073</v>
      </c>
      <c r="L40" s="7">
        <f>F40/'Perfect P&amp;L'!C26</f>
        <v>1.0291200000000007</v>
      </c>
    </row>
    <row r="41" spans="1:12" x14ac:dyDescent="0.2">
      <c r="A41" s="2">
        <v>35</v>
      </c>
      <c r="B41" s="3">
        <f t="shared" si="3"/>
        <v>32.000000000000021</v>
      </c>
      <c r="C41" s="4">
        <f>IF(35&lt;='Sales Funnel'!C15,'Sales Funnel'!C18,0)</f>
        <v>0</v>
      </c>
      <c r="D41" s="5">
        <f>IF(35&lt;='Sales Funnel'!C15,('Current State'!C8*(1-MIN(35,'Sales Funnel'!C15)/'Sales Funnel'!C15))+('Target State'!C8*MIN(35,'Sales Funnel'!C15)/'Sales Funnel'!C15),'Target State'!C8)</f>
        <v>300</v>
      </c>
      <c r="E41" s="5">
        <f t="shared" si="0"/>
        <v>9600.0000000000073</v>
      </c>
      <c r="F41" s="5">
        <f t="shared" si="1"/>
        <v>115200.00000000009</v>
      </c>
      <c r="G41" s="4">
        <f>IF(35&lt;='Sales Funnel'!C15,'Sales Funnel'!C25,0)</f>
        <v>0</v>
      </c>
      <c r="H41" s="4">
        <f>IF(35&lt;='Sales Funnel'!C15,'Sales Funnel'!C23,0)</f>
        <v>0</v>
      </c>
      <c r="I41" s="6" t="str">
        <f>IF(AND(B41&gt;=Milestones!B26,Milestones!A26&lt;&gt;""),Milestones!A26,IF(AND(B41&gt;=Milestones!B25,Milestones!A25&lt;&gt;""),Milestones!A25,IF(AND(B41&gt;=Milestones!B24,Milestones!A24&lt;&gt;""),Milestones!A24,IF(AND(B41&gt;=Milestones!B23,Milestones!A23&lt;&gt;""),Milestones!A23,IF(AND(B41&gt;=Milestones!B22,Milestones!A22&lt;&gt;""),Milestones!A22,IF(AND(B41&gt;=Milestones!B21,Milestones!A21&lt;&gt;""),Milestones!A21,IF(AND(B41&gt;=Milestones!B20,Milestones!A20&lt;&gt;""),Milestones!A20,IF(AND(B41&gt;=Milestones!B19,Milestones!A19&lt;&gt;""),Milestones!A19,IF(AND(B41&gt;=Milestones!B18,Milestones!A18&lt;&gt;""),Milestones!A18,IF(AND(B41&gt;=Milestones!B17,Milestones!A17&lt;&gt;""),Milestones!A17,IF(AND(B41&gt;=Milestones!B16,Milestones!A16&lt;&gt;""),Milestones!A16,IF(AND(B41&gt;=Milestones!B15,Milestones!A15&lt;&gt;""),Milestones!A15,IF(AND(B41&gt;=Milestones!B14,Milestones!A14&lt;&gt;""),Milestones!A14,IF(AND(B41&gt;=Milestones!B13,Milestones!A13&lt;&gt;""),Milestones!A13,IF(AND(B41&gt;=Milestones!B12,Milestones!A12&lt;&gt;""),Milestones!A12,IF(AND(B41&gt;=Milestones!B11,Milestones!A11&lt;&gt;""),Milestones!A11,IF(AND(B41&gt;=Milestones!B10,Milestones!A10&lt;&gt;""),Milestones!A10,IF(AND(B41&gt;=Milestones!B9,Milestones!A9&lt;&gt;""),Milestones!A9,IF(AND(B41&gt;=Milestones!B8,Milestones!A8&lt;&gt;""),Milestones!A8,IF(AND(B41&gt;=Milestones!B7,Milestones!A7&lt;&gt;""),Milestones!A7,"-"))))))))))))))))))))</f>
        <v>Advanced software tools</v>
      </c>
      <c r="J41" s="5">
        <f>(IF(B41&gt;=Milestones!B7,Milestones!C7,0)+IF(B41&gt;=Milestones!B8,Milestones!C8,0)+IF(B41&gt;=Milestones!B9,Milestones!C9,0)+IF(B41&gt;=Milestones!B10,Milestones!C10,0)+IF(B41&gt;=Milestones!B11,Milestones!C11,0)+IF(B41&gt;=Milestones!B12,Milestones!C12,0)+IF(B41&gt;=Milestones!B13,Milestones!C13,0)+IF(B41&gt;=Milestones!B14,Milestones!C14,0)+IF(B41&gt;=Milestones!B15,Milestones!C15,0)+IF(B41&gt;=Milestones!B16,Milestones!C16,0)+IF(B41&gt;=Milestones!B17,Milestones!C17,0)+IF(B41&gt;=Milestones!B18,Milestones!C18,0)+IF(B41&gt;=Milestones!B19,Milestones!C19,0)+IF(B41&gt;=Milestones!B20,Milestones!C20,0)+IF(B41&gt;=Milestones!B21,Milestones!C21,0)+IF(B41&gt;=Milestones!B22,Milestones!C22,0)+IF(B41&gt;=Milestones!B23,Milestones!C23,0)+IF(B41&gt;=Milestones!B24,Milestones!C24,0)+IF(B41&gt;=Milestones!B25,Milestones!C25,0)+IF(B41&gt;=Milestones!B26,Milestones!C26,0))</f>
        <v>3950</v>
      </c>
      <c r="K41" s="5">
        <f t="shared" si="2"/>
        <v>5650.0000000000073</v>
      </c>
      <c r="L41" s="7">
        <f>F41/'Perfect P&amp;L'!C26</f>
        <v>1.0291200000000007</v>
      </c>
    </row>
    <row r="42" spans="1:12" x14ac:dyDescent="0.2">
      <c r="A42" s="2">
        <v>36</v>
      </c>
      <c r="B42" s="3">
        <f t="shared" si="3"/>
        <v>32.000000000000021</v>
      </c>
      <c r="C42" s="4">
        <f>IF(36&lt;='Sales Funnel'!C15,'Sales Funnel'!C18,0)</f>
        <v>0</v>
      </c>
      <c r="D42" s="5">
        <f>IF(36&lt;='Sales Funnel'!C15,('Current State'!C8*(1-MIN(36,'Sales Funnel'!C15)/'Sales Funnel'!C15))+('Target State'!C8*MIN(36,'Sales Funnel'!C15)/'Sales Funnel'!C15),'Target State'!C8)</f>
        <v>300</v>
      </c>
      <c r="E42" s="5">
        <f t="shared" si="0"/>
        <v>9600.0000000000073</v>
      </c>
      <c r="F42" s="5">
        <f t="shared" si="1"/>
        <v>115200.00000000009</v>
      </c>
      <c r="G42" s="4">
        <f>IF(36&lt;='Sales Funnel'!C15,'Sales Funnel'!C25,0)</f>
        <v>0</v>
      </c>
      <c r="H42" s="4">
        <f>IF(36&lt;='Sales Funnel'!C15,'Sales Funnel'!C23,0)</f>
        <v>0</v>
      </c>
      <c r="I42" s="6" t="str">
        <f>IF(AND(B42&gt;=Milestones!B26,Milestones!A26&lt;&gt;""),Milestones!A26,IF(AND(B42&gt;=Milestones!B25,Milestones!A25&lt;&gt;""),Milestones!A25,IF(AND(B42&gt;=Milestones!B24,Milestones!A24&lt;&gt;""),Milestones!A24,IF(AND(B42&gt;=Milestones!B23,Milestones!A23&lt;&gt;""),Milestones!A23,IF(AND(B42&gt;=Milestones!B22,Milestones!A22&lt;&gt;""),Milestones!A22,IF(AND(B42&gt;=Milestones!B21,Milestones!A21&lt;&gt;""),Milestones!A21,IF(AND(B42&gt;=Milestones!B20,Milestones!A20&lt;&gt;""),Milestones!A20,IF(AND(B42&gt;=Milestones!B19,Milestones!A19&lt;&gt;""),Milestones!A19,IF(AND(B42&gt;=Milestones!B18,Milestones!A18&lt;&gt;""),Milestones!A18,IF(AND(B42&gt;=Milestones!B17,Milestones!A17&lt;&gt;""),Milestones!A17,IF(AND(B42&gt;=Milestones!B16,Milestones!A16&lt;&gt;""),Milestones!A16,IF(AND(B42&gt;=Milestones!B15,Milestones!A15&lt;&gt;""),Milestones!A15,IF(AND(B42&gt;=Milestones!B14,Milestones!A14&lt;&gt;""),Milestones!A14,IF(AND(B42&gt;=Milestones!B13,Milestones!A13&lt;&gt;""),Milestones!A13,IF(AND(B42&gt;=Milestones!B12,Milestones!A12&lt;&gt;""),Milestones!A12,IF(AND(B42&gt;=Milestones!B11,Milestones!A11&lt;&gt;""),Milestones!A11,IF(AND(B42&gt;=Milestones!B10,Milestones!A10&lt;&gt;""),Milestones!A10,IF(AND(B42&gt;=Milestones!B9,Milestones!A9&lt;&gt;""),Milestones!A9,IF(AND(B42&gt;=Milestones!B8,Milestones!A8&lt;&gt;""),Milestones!A8,IF(AND(B42&gt;=Milestones!B7,Milestones!A7&lt;&gt;""),Milestones!A7,"-"))))))))))))))))))))</f>
        <v>Advanced software tools</v>
      </c>
      <c r="J42" s="5">
        <f>(IF(B42&gt;=Milestones!B7,Milestones!C7,0)+IF(B42&gt;=Milestones!B8,Milestones!C8,0)+IF(B42&gt;=Milestones!B9,Milestones!C9,0)+IF(B42&gt;=Milestones!B10,Milestones!C10,0)+IF(B42&gt;=Milestones!B11,Milestones!C11,0)+IF(B42&gt;=Milestones!B12,Milestones!C12,0)+IF(B42&gt;=Milestones!B13,Milestones!C13,0)+IF(B42&gt;=Milestones!B14,Milestones!C14,0)+IF(B42&gt;=Milestones!B15,Milestones!C15,0)+IF(B42&gt;=Milestones!B16,Milestones!C16,0)+IF(B42&gt;=Milestones!B17,Milestones!C17,0)+IF(B42&gt;=Milestones!B18,Milestones!C18,0)+IF(B42&gt;=Milestones!B19,Milestones!C19,0)+IF(B42&gt;=Milestones!B20,Milestones!C20,0)+IF(B42&gt;=Milestones!B21,Milestones!C21,0)+IF(B42&gt;=Milestones!B22,Milestones!C22,0)+IF(B42&gt;=Milestones!B23,Milestones!C23,0)+IF(B42&gt;=Milestones!B24,Milestones!C24,0)+IF(B42&gt;=Milestones!B25,Milestones!C25,0)+IF(B42&gt;=Milestones!B26,Milestones!C26,0))</f>
        <v>3950</v>
      </c>
      <c r="K42" s="5">
        <f t="shared" si="2"/>
        <v>5650.0000000000073</v>
      </c>
      <c r="L42" s="7">
        <f>F42/'Perfect P&amp;L'!C26</f>
        <v>1.0291200000000007</v>
      </c>
    </row>
    <row r="44" spans="1:12" ht="19" x14ac:dyDescent="0.25">
      <c r="A44" s="14" t="s">
        <v>108</v>
      </c>
      <c r="B44" s="15"/>
    </row>
    <row r="45" spans="1:12" x14ac:dyDescent="0.2">
      <c r="A45" s="1" t="s">
        <v>109</v>
      </c>
      <c r="B45" s="8">
        <f>'Sales Funnel'!C15</f>
        <v>18</v>
      </c>
    </row>
    <row r="46" spans="1:12" x14ac:dyDescent="0.2">
      <c r="A46" s="1" t="s">
        <v>110</v>
      </c>
      <c r="B46" s="8">
        <f>'Target State'!C25</f>
        <v>12</v>
      </c>
    </row>
    <row r="47" spans="1:12" x14ac:dyDescent="0.2">
      <c r="A47" s="1" t="s">
        <v>111</v>
      </c>
      <c r="B47" s="9">
        <f>'Perfect P&amp;L'!C26</f>
        <v>111940.29850746269</v>
      </c>
    </row>
    <row r="49" spans="1:3" ht="16" x14ac:dyDescent="0.2">
      <c r="A49" s="16" t="s">
        <v>112</v>
      </c>
      <c r="B49" s="15"/>
      <c r="C49" s="15"/>
    </row>
    <row r="50" spans="1:3" x14ac:dyDescent="0.2">
      <c r="A50" s="10" t="s">
        <v>113</v>
      </c>
    </row>
    <row r="51" spans="1:3" x14ac:dyDescent="0.2">
      <c r="A51" s="10" t="s">
        <v>114</v>
      </c>
    </row>
    <row r="52" spans="1:3" x14ac:dyDescent="0.2">
      <c r="A52" s="10" t="s">
        <v>115</v>
      </c>
    </row>
    <row r="53" spans="1:3" x14ac:dyDescent="0.2">
      <c r="A53" s="10" t="s">
        <v>116</v>
      </c>
    </row>
    <row r="54" spans="1:3" x14ac:dyDescent="0.2">
      <c r="A54" s="10" t="s">
        <v>126</v>
      </c>
    </row>
    <row r="57" spans="1:3" x14ac:dyDescent="0.2">
      <c r="A57" s="1" t="s">
        <v>136</v>
      </c>
    </row>
  </sheetData>
  <mergeCells count="2">
    <mergeCell ref="A1:L1"/>
    <mergeCell ref="A3:L3"/>
  </mergeCells>
  <conditionalFormatting sqref="A6:L42">
    <cfRule type="expression" dxfId="0" priority="1">
      <formula>$L6&gt;=1</formula>
    </cfRule>
  </conditionalFormatting>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01F3-F979-A541-96BC-74D2D1D2AC48}">
  <dimension ref="A1:F36"/>
  <sheetViews>
    <sheetView workbookViewId="0"/>
  </sheetViews>
  <sheetFormatPr baseColWidth="10" defaultRowHeight="15" x14ac:dyDescent="0.2"/>
  <sheetData>
    <row r="1" spans="1:6" ht="21" x14ac:dyDescent="0.25">
      <c r="A1" s="19" t="s">
        <v>165</v>
      </c>
      <c r="B1" s="19"/>
      <c r="C1" s="19"/>
      <c r="D1" s="47"/>
      <c r="E1" s="48"/>
      <c r="F1" s="48"/>
    </row>
    <row r="2" spans="1:6" x14ac:dyDescent="0.2">
      <c r="A2" s="1"/>
      <c r="B2" s="1"/>
      <c r="C2" s="1"/>
      <c r="D2" s="1"/>
    </row>
    <row r="3" spans="1:6" ht="15" customHeight="1" x14ac:dyDescent="0.2">
      <c r="A3" s="51" t="s">
        <v>140</v>
      </c>
      <c r="B3" s="51"/>
      <c r="C3" s="51"/>
      <c r="D3" s="51"/>
    </row>
    <row r="4" spans="1:6" x14ac:dyDescent="0.2">
      <c r="A4" s="1" t="s">
        <v>141</v>
      </c>
      <c r="B4" s="1"/>
      <c r="C4" s="1"/>
      <c r="D4" s="1"/>
    </row>
    <row r="5" spans="1:6" x14ac:dyDescent="0.2">
      <c r="A5" t="s">
        <v>142</v>
      </c>
      <c r="B5" s="1"/>
      <c r="C5" s="1"/>
      <c r="D5" s="1"/>
    </row>
    <row r="6" spans="1:6" x14ac:dyDescent="0.2">
      <c r="A6" t="s">
        <v>143</v>
      </c>
    </row>
    <row r="7" spans="1:6" x14ac:dyDescent="0.2">
      <c r="A7" t="s">
        <v>144</v>
      </c>
    </row>
    <row r="8" spans="1:6" x14ac:dyDescent="0.2">
      <c r="A8" t="s">
        <v>145</v>
      </c>
    </row>
    <row r="9" spans="1:6" x14ac:dyDescent="0.2">
      <c r="A9" t="s">
        <v>146</v>
      </c>
    </row>
    <row r="11" spans="1:6" ht="16" x14ac:dyDescent="0.2">
      <c r="A11" s="20" t="s">
        <v>147</v>
      </c>
    </row>
    <row r="12" spans="1:6" x14ac:dyDescent="0.2">
      <c r="A12" t="s">
        <v>148</v>
      </c>
    </row>
    <row r="14" spans="1:6" ht="16" x14ac:dyDescent="0.2">
      <c r="A14" s="49" t="s">
        <v>156</v>
      </c>
    </row>
    <row r="15" spans="1:6" x14ac:dyDescent="0.2">
      <c r="A15" t="s">
        <v>149</v>
      </c>
    </row>
    <row r="16" spans="1:6"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3" spans="1:1" ht="16" x14ac:dyDescent="0.2">
      <c r="A23" s="20" t="s">
        <v>164</v>
      </c>
    </row>
    <row r="24" spans="1:1" x14ac:dyDescent="0.2">
      <c r="A24" t="s">
        <v>157</v>
      </c>
    </row>
    <row r="26" spans="1:1" x14ac:dyDescent="0.2">
      <c r="A26" s="50" t="s">
        <v>163</v>
      </c>
    </row>
    <row r="27" spans="1:1" x14ac:dyDescent="0.2">
      <c r="A27" t="s">
        <v>158</v>
      </c>
    </row>
    <row r="28" spans="1:1" x14ac:dyDescent="0.2">
      <c r="A28" t="s">
        <v>161</v>
      </c>
    </row>
    <row r="29" spans="1:1" x14ac:dyDescent="0.2">
      <c r="A29" t="s">
        <v>162</v>
      </c>
    </row>
    <row r="30" spans="1:1" x14ac:dyDescent="0.2">
      <c r="A30" t="s">
        <v>159</v>
      </c>
    </row>
    <row r="31" spans="1:1" x14ac:dyDescent="0.2">
      <c r="A31" t="s">
        <v>160</v>
      </c>
    </row>
    <row r="33" spans="1:2" ht="16" x14ac:dyDescent="0.2">
      <c r="A33" s="20" t="s">
        <v>166</v>
      </c>
    </row>
    <row r="35" spans="1:2" x14ac:dyDescent="0.2">
      <c r="A35" s="50" t="s">
        <v>167</v>
      </c>
    </row>
    <row r="36" spans="1:2" ht="16" x14ac:dyDescent="0.2">
      <c r="A36" s="52" t="s">
        <v>168</v>
      </c>
      <c r="B36" s="53"/>
    </row>
  </sheetData>
  <mergeCells count="1">
    <mergeCell ref="A3:D3"/>
  </mergeCells>
  <hyperlinks>
    <hyperlink ref="A36" r:id="rId1" xr:uid="{E9370E84-43FB-FD44-AD1F-BD5061CCA7E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Perfect P&amp;L</vt:lpstr>
      <vt:lpstr>Current State</vt:lpstr>
      <vt:lpstr>Target State</vt:lpstr>
      <vt:lpstr>Sales Funnel</vt:lpstr>
      <vt:lpstr>Milestones</vt:lpstr>
      <vt:lpstr>Monthly Plan</vt:lpstr>
      <vt:lpstr>Next Steps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Zoe Whitman</cp:lastModifiedBy>
  <cp:revision>0</cp:revision>
  <dcterms:created xsi:type="dcterms:W3CDTF">2025-11-11T22:28:47Z</dcterms:created>
  <dcterms:modified xsi:type="dcterms:W3CDTF">2025-11-11T23:37:38Z</dcterms:modified>
  <dc:language>en-US</dc:language>
</cp:coreProperties>
</file>